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9990" windowHeight="9990" activeTab="1"/>
  </bookViews>
  <sheets>
    <sheet name="Sheet2" sheetId="1" r:id="rId1"/>
    <sheet name="Recovered_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<sst xmlns="http://schemas.openxmlformats.org/spreadsheetml/2006/main" count="1591" uniqueCount="755">
  <si>
    <t>Bldg</t>
  </si>
  <si>
    <t>BldgAbbr</t>
  </si>
  <si>
    <t>BldgName</t>
  </si>
  <si>
    <t>IsBldg</t>
  </si>
  <si>
    <t>Address</t>
  </si>
  <si>
    <t>City</t>
  </si>
  <si>
    <t>Zip</t>
  </si>
  <si>
    <t>911 address?</t>
  </si>
  <si>
    <t>N</t>
  </si>
  <si>
    <t>Y</t>
  </si>
  <si>
    <t>Grand Total</t>
  </si>
  <si>
    <t>AGRONOMY GREENHOUSE</t>
  </si>
  <si>
    <t>AGRONOMY IMPLEMENT STORAGE</t>
  </si>
  <si>
    <t>Airport-Aircraft Hanger J</t>
  </si>
  <si>
    <t>ANIMAL HOUSING UNIT</t>
  </si>
  <si>
    <t>ANIMAL SCIENCE STALLION BARN</t>
  </si>
  <si>
    <t>AQUACULTURE RESEARCH TEACHING FACILITY</t>
  </si>
  <si>
    <t>AQUATIC RESEARCH CENTER</t>
  </si>
  <si>
    <t>BEEF CATTLE CENTER EQUIP STORAG</t>
  </si>
  <si>
    <t>BEEF CATTLE CENTER FEED MILL</t>
  </si>
  <si>
    <t>BEEF CATTLE CENTER FEED STORAGE</t>
  </si>
  <si>
    <t>BEEF CATTLE CENTER LAB/RESTROOM</t>
  </si>
  <si>
    <t>BEEF CATTLE CENTER TACK STORAGE</t>
  </si>
  <si>
    <t>BEEF CONFINEMENT RESEARCH UNIT</t>
  </si>
  <si>
    <t>BOXCAR - FEED STORAGE</t>
  </si>
  <si>
    <t>BRYAN CIS SPACE</t>
  </si>
  <si>
    <t>Business Management Services Record Storage</t>
  </si>
  <si>
    <t>BUTLER BUILDING</t>
  </si>
  <si>
    <t>CABLE WIRE STORAGE</t>
  </si>
  <si>
    <t>CATTLE FEEDING</t>
  </si>
  <si>
    <t>CATTLE PROCESSING</t>
  </si>
  <si>
    <t>CITY OF COLLEGE STATION ADMIN BLDG</t>
  </si>
  <si>
    <t>CMP-ANIMAL HOUSING UNIT</t>
  </si>
  <si>
    <t>CMP-HOUSING UNIT</t>
  </si>
  <si>
    <t>CMP-QUARANTINE UNIT</t>
  </si>
  <si>
    <t>COLLEGE AVENUE APARTMENTS</t>
  </si>
  <si>
    <t>COLLEGE VIEW APTS</t>
  </si>
  <si>
    <t>CORPS LOUNGE - C</t>
  </si>
  <si>
    <t>COTTON GREENHOUSE</t>
  </si>
  <si>
    <t>CUSE-SHOP &amp; STORAGE</t>
  </si>
  <si>
    <t>CUSE-SPECIAL PROJECT LAB &amp; STORAGE</t>
  </si>
  <si>
    <t>CUSE-TOXICOLOGY HUT</t>
  </si>
  <si>
    <t>ECOLOGY &amp; NATURAL RESOURCES TEACHING PAVILION</t>
  </si>
  <si>
    <t>ELECTRICAL DISTRIBUTION STORAGE</t>
  </si>
  <si>
    <t>EQUESTRIAN BUILDING @ BRAZOS CO. EXPO CENTER</t>
  </si>
  <si>
    <t>EQUESTRIAN TACK ROOM</t>
  </si>
  <si>
    <t>EQUINE CENTER RESTROOM</t>
  </si>
  <si>
    <t>EQUINE GAIT ANALYSIS BLDG</t>
  </si>
  <si>
    <t>EQUINE HAY &amp; GRASS STORAGE</t>
  </si>
  <si>
    <t>EQUIPMENT STORAGE/DIET PREP</t>
  </si>
  <si>
    <t>ESTI ANNUAL SCHOOL/VENDOR STORE</t>
  </si>
  <si>
    <t>ESTI BATHROOM (HAZARDOUS MATERIALS AREA)</t>
  </si>
  <si>
    <t>ESTI BATHROOM (INDUSTRIAL AREA)</t>
  </si>
  <si>
    <t>ESTI BATHROOM (MARINE AREA)</t>
  </si>
  <si>
    <t>ESTI BATHROOM (PARKER'S PRIVY)</t>
  </si>
  <si>
    <t>ESTI BATHROOM (PAT'S POTTY)</t>
  </si>
  <si>
    <t>ESTI BATHROOM (RYAN'S ROOST)</t>
  </si>
  <si>
    <t>ESTI BREATHING APPARATUS REPAIR BUILDING</t>
  </si>
  <si>
    <t>ESTI BUSINESS OFFICE</t>
  </si>
  <si>
    <t>ESTI CONTROL BUILDING</t>
  </si>
  <si>
    <t>ESTI CURRICULUM OFFICE</t>
  </si>
  <si>
    <t>ESTI DOD OFFICE/EMS CLASSROOM</t>
  </si>
  <si>
    <t>ESTI ELECTRICAL BUILDING</t>
  </si>
  <si>
    <t>ESTI EMS CLASSROOM</t>
  </si>
  <si>
    <t>ESTI EMS OFFICE</t>
  </si>
  <si>
    <t>ESTI EMS SHOP/STORAGE BUILDING</t>
  </si>
  <si>
    <t>ESTI FIELD MAINTENANCE SHOP</t>
  </si>
  <si>
    <t>ESTI H. D. Smith Operations Complex</t>
  </si>
  <si>
    <t>ESTI HAZ MAT CLASSROOM</t>
  </si>
  <si>
    <t>ESTI HAZ MAT STORAGE</t>
  </si>
  <si>
    <t>ESTI HAZ MAT WAREHOUSE</t>
  </si>
  <si>
    <t>ESTI HAZARDOUS MATERIALS CLASSROOM A&amp;B</t>
  </si>
  <si>
    <t>ESTI INDUSTRIAL BUNKER GEAR DRYING BUILDING</t>
  </si>
  <si>
    <t>ESTI INDUSTRIAL CLASSROOM A&amp;B</t>
  </si>
  <si>
    <t>ESTI INDUSTRIAL CLASSROOMS A&amp;B</t>
  </si>
  <si>
    <t>ESTI INDUSTRIAL OFFICE</t>
  </si>
  <si>
    <t>ESTI INDUSTRIAL TECHNICIAN OFFICE/SHOP</t>
  </si>
  <si>
    <t>ESTI LEADERSHIP/CERTIFICATION/EVALUATION OFFICE</t>
  </si>
  <si>
    <t>ESTI MARINE/MARKETING/F2HS OFFICE</t>
  </si>
  <si>
    <t>ESTI RESCUE OFFICE/CLASSROOM</t>
  </si>
  <si>
    <t>ESTI WAREHOUSE BUILDING</t>
  </si>
  <si>
    <t>ESTI WMD RESTROOM</t>
  </si>
  <si>
    <t>FARM SERVICE CHEMICAL STORAGE</t>
  </si>
  <si>
    <t>FARM SERVICE IMPLEMENT #1</t>
  </si>
  <si>
    <t>FARM SERVICE IMPLEMENT #2</t>
  </si>
  <si>
    <t>FARM SERVICE IMPLEMENT BARN</t>
  </si>
  <si>
    <t>FARM SERVICE STORAGE 2</t>
  </si>
  <si>
    <t>FARM SUPERINTENDENT HOUSE</t>
  </si>
  <si>
    <t>FIBER TOWN</t>
  </si>
  <si>
    <t>FIELD LAB AND OFFICE BLDG</t>
  </si>
  <si>
    <t>FIELD LAB EQUIPMENT SHED</t>
  </si>
  <si>
    <t>FIELD LAB IMPLEMENT SHED</t>
  </si>
  <si>
    <t>FLAMMABLE MAT STORAGE</t>
  </si>
  <si>
    <t>FLORICULTURE BUILDING A</t>
  </si>
  <si>
    <t>FLORICULTURE BUILDING B</t>
  </si>
  <si>
    <t>FLORICULTURE BUILDING C</t>
  </si>
  <si>
    <t>FLORICULTURE FARM STORAGE BLDG.</t>
  </si>
  <si>
    <t>Food Service Vending Trailer</t>
  </si>
  <si>
    <t>FORAGE AND TURF GREENHOUSE</t>
  </si>
  <si>
    <t>FOREST SCIENCE GREENHOUSE</t>
  </si>
  <si>
    <t>FOREST SCIENCE STORAGE</t>
  </si>
  <si>
    <t>GAMMA RADIATION LAB</t>
  </si>
  <si>
    <t>GENERATOR SHED</t>
  </si>
  <si>
    <t>Generator Storage Building</t>
  </si>
  <si>
    <t>GERG East Lab &amp; Office Building</t>
  </si>
  <si>
    <t>GERG GAS SHED</t>
  </si>
  <si>
    <t>GERG Main Office Building</t>
  </si>
  <si>
    <t>GERG Portable Building</t>
  </si>
  <si>
    <t>GERG SOLVENT SHED</t>
  </si>
  <si>
    <t>GERG Warehouse</t>
  </si>
  <si>
    <t>GOLF COURSE HALFWAY HOUSE</t>
  </si>
  <si>
    <t>GREENHOUSE</t>
  </si>
  <si>
    <t>GREENHOUSE-COTTON TAXONOMY</t>
  </si>
  <si>
    <t>GREENHOUSE-SMALL GRAINS</t>
  </si>
  <si>
    <t>GROUND SUPPORT EQUIPMENT SHED (EASTERWOOD AIRPORT)</t>
  </si>
  <si>
    <t>GROUNDS MAINTENANCE - TRACTOR SHED</t>
  </si>
  <si>
    <t>GROUNDS MAINTENANCE GREENHOUSE</t>
  </si>
  <si>
    <t>GROUNDS MAINTENANCE GREENHOUSE 4</t>
  </si>
  <si>
    <t>GROUNDS MAINTENANCE GREENHOUSE 5</t>
  </si>
  <si>
    <t>GROUNDS MAINTENANCE IMPLEMENT SHED</t>
  </si>
  <si>
    <t>GROUNDS MAINTENANCE POTTING SHED</t>
  </si>
  <si>
    <t>GROUNDS MAINTENANCE STORAGE</t>
  </si>
  <si>
    <t>GROUNDS SHOP WAREHOUSE</t>
  </si>
  <si>
    <t>HATCHERY</t>
  </si>
  <si>
    <t>HATCHERY BLDG</t>
  </si>
  <si>
    <t>HAZARDOUS WASTE OFFICE &amp; SUPPORT BLDG</t>
  </si>
  <si>
    <t>HENSEL APTS BLDG V-1</t>
  </si>
  <si>
    <t>HENSEL APTS BLDG V-2</t>
  </si>
  <si>
    <t>HENSEL APTS BLDG V-3</t>
  </si>
  <si>
    <t>HENSEL APTS BLDG W-1</t>
  </si>
  <si>
    <t>HENSEL APTS BLDG W-2</t>
  </si>
  <si>
    <t>HENSEL APTS BLDG W-3</t>
  </si>
  <si>
    <t>HENSEL APTS BLDG X-1</t>
  </si>
  <si>
    <t>HENSEL APTS BLDG X-2</t>
  </si>
  <si>
    <t>HENSEL APTS BLDG X-3</t>
  </si>
  <si>
    <t>HENSEL APTS BLDG X-4</t>
  </si>
  <si>
    <t>HENSEL APTS BLDG Y-1</t>
  </si>
  <si>
    <t>HENSEL APTS BLDG Y-2</t>
  </si>
  <si>
    <t>HENSEL APTS BLDG Y-3</t>
  </si>
  <si>
    <t>HENSEL APTS BLDG Y-4</t>
  </si>
  <si>
    <t>HENSEL APTS BLDG Z-1</t>
  </si>
  <si>
    <t>HENSEL PARK PICNIC SHELTER</t>
  </si>
  <si>
    <t>HENSEL PARK PICNIC SHELTER #1</t>
  </si>
  <si>
    <t>HENSEL PARK PICNIC SHELTER #2</t>
  </si>
  <si>
    <t>HENSEL PARK RESTROOMS</t>
  </si>
  <si>
    <t>HORT &amp; PLANT SCI GREENHOUSE</t>
  </si>
  <si>
    <t>HORT/FS GREENHOUSE</t>
  </si>
  <si>
    <t>HORTICULTURE CABIN</t>
  </si>
  <si>
    <t>HORTICULTURE FIELD LABORATORY</t>
  </si>
  <si>
    <t>HORTICULTURE IMPLEMENT SHED - A</t>
  </si>
  <si>
    <t>HORTICULTURE IMPLEMENT SHED - B</t>
  </si>
  <si>
    <t>HORTICULTURE SHOP</t>
  </si>
  <si>
    <t>HORTICULTURE VEG BREEDING GREENHOUSE</t>
  </si>
  <si>
    <t>HORTICULTURE VEGETABLE GREENHOUSE</t>
  </si>
  <si>
    <t>IMPLEMENT BARN</t>
  </si>
  <si>
    <t>IMPLEMENT STORAGE SHED</t>
  </si>
  <si>
    <t>INTERDISCIPLINARY BARN</t>
  </si>
  <si>
    <t>ISOLATION BARN</t>
  </si>
  <si>
    <t>LARGE ANIMAL HOLDING</t>
  </si>
  <si>
    <t>LIVESTOCK HOUSING</t>
  </si>
  <si>
    <t>MAINTENANCE MACHINE SHED</t>
  </si>
  <si>
    <t>MARINE RESEARCH LAB</t>
  </si>
  <si>
    <t>Metal Building</t>
  </si>
  <si>
    <t>MURRAY CASE SELLS STORAGE BLDG</t>
  </si>
  <si>
    <t>NERRTC EMERGENCY OPERATIONS TRNG CENTER</t>
  </si>
  <si>
    <t>OFFICE METAL BUILDING</t>
  </si>
  <si>
    <t>OIL TANKS BOILER HOUSE</t>
  </si>
  <si>
    <t>OLSEN FIELD TICKET BOOTH</t>
  </si>
  <si>
    <t>PARKING TOLL BOOTH-EASTERWOOD</t>
  </si>
  <si>
    <t>PHYSICAL PLANT UTILITIES</t>
  </si>
  <si>
    <t>PLANT SCIENCE GRAIN SORGHUM GREENHOUSE</t>
  </si>
  <si>
    <t>PLANTATION FIELD LAB &amp; OFFICE</t>
  </si>
  <si>
    <t>PLANTATION LAB EAST WING</t>
  </si>
  <si>
    <t>PLANTATION LAB MAINT SHED</t>
  </si>
  <si>
    <t>PLANTATION LAB NORTHWEST SHED</t>
  </si>
  <si>
    <t>PLANTATION LAB WEST WING SHED</t>
  </si>
  <si>
    <t>Plumbing Fabrication Shop</t>
  </si>
  <si>
    <t>POULTRY SCI COMPARATIVE REARING</t>
  </si>
  <si>
    <t>POULTRY SCI ENVIRONMENTAL RES</t>
  </si>
  <si>
    <t>POULTRY SCI EQUIPMENT STORAGE</t>
  </si>
  <si>
    <t>POULTRY SCI HANDLING &amp; JUDGING</t>
  </si>
  <si>
    <t>POULTRY SCI NUTRITION &amp; PHYS</t>
  </si>
  <si>
    <t>POULTRY SCI REPRO &amp; EMBRYOLOGY</t>
  </si>
  <si>
    <t>POULTRY SCIENCE BROILER #1</t>
  </si>
  <si>
    <t>POULTRY SCIENCE BROILER #2</t>
  </si>
  <si>
    <t>POULTRY SCIENCE CAGED LAYER #1</t>
  </si>
  <si>
    <t>POULTRY SCIENCE CAGED LAYER #2</t>
  </si>
  <si>
    <t>POULTRY SCIENCE FEED MIXING</t>
  </si>
  <si>
    <t>PS ENVIRONMENTAL BIOTECHNOLOGY</t>
  </si>
  <si>
    <t>PS GAMEBIRD REARING &amp; FLT PEN</t>
  </si>
  <si>
    <t>PS GAMEBIRD REPRO &amp; MANAGEMENT</t>
  </si>
  <si>
    <t>PS INTENSIVE MGT &amp; REARING</t>
  </si>
  <si>
    <t>PUMP HOUSE</t>
  </si>
  <si>
    <t>PURCHASING &amp; STORES - GENERAL STORAGE</t>
  </si>
  <si>
    <t>RAINWATER RESTROOM</t>
  </si>
  <si>
    <t>REPRODUCTIVE SCIENCES BLDG. A</t>
  </si>
  <si>
    <t>REPRODUCTIVE SCIENCES BLDG. B</t>
  </si>
  <si>
    <t>REPRODUCTIVE SCIENCES BLDG. C</t>
  </si>
  <si>
    <t>REPRODUCTIVE SCIENCES BLDG. D</t>
  </si>
  <si>
    <t>REPRODUCTIVE SCIENCES BLDG. E</t>
  </si>
  <si>
    <t>REPRODUCTIVE SCIENCES BLDG. F</t>
  </si>
  <si>
    <t>REPRODUCTIVE SCIENCES BLDG. G</t>
  </si>
  <si>
    <t>REPRODUCTIVE SCIENCES BLDG. H</t>
  </si>
  <si>
    <t>REPRODUCTIVE SCIENCES BLDG. I</t>
  </si>
  <si>
    <t>REPRODUCTIVE SCIENCES BLDG. J</t>
  </si>
  <si>
    <t>RESEARCH PARK SWITCHING STATION</t>
  </si>
  <si>
    <t>REST ROOMS</t>
  </si>
  <si>
    <t>SAMPLE PROCESSING LABORATORY</t>
  </si>
  <si>
    <t>SCS FORAGE GREENHOUSE</t>
  </si>
  <si>
    <t>SCSC SMALL GRAIN GREENHOUSE</t>
  </si>
  <si>
    <t>SCSC-WEED SCI GREENHOUSE</t>
  </si>
  <si>
    <t>SHEEP FEEDING</t>
  </si>
  <si>
    <t>SMALL HORSE BARN</t>
  </si>
  <si>
    <t>SMALL UPLAND FOWL RES. LAB.</t>
  </si>
  <si>
    <t>SOIL &amp; CROP GREENHOUSE</t>
  </si>
  <si>
    <t>SOIL &amp; CROP PEANUT GREENHOUSE</t>
  </si>
  <si>
    <t>SOIL &amp; CROP SCI GREENHOUSE</t>
  </si>
  <si>
    <t>STATE HGTRS THERMAL PLANT</t>
  </si>
  <si>
    <t>STORAGE SHED</t>
  </si>
  <si>
    <t>STORAGE/WIND TUNNEL SUPPORT BUILDING</t>
  </si>
  <si>
    <t>STORAGE--CYCLOTRON</t>
  </si>
  <si>
    <t>TEEX - PS&amp;S Firing Range Classroom</t>
  </si>
  <si>
    <t>TEEX - PS&amp;S UXO Demo Range Pavilion</t>
  </si>
  <si>
    <t>TEEX - PS&amp;S UXO Search Grid Pavilion</t>
  </si>
  <si>
    <t>TEEX Shoot House</t>
  </si>
  <si>
    <t>TELECOMMUNICATIONS OPTICAL REMOTE BUILDING</t>
  </si>
  <si>
    <t>TEXAS A&amp;M POLO CLUB STABLES</t>
  </si>
  <si>
    <t>TICK RESEARCH FACILITY</t>
  </si>
  <si>
    <t>TRAILER HOUSE @ TERECO</t>
  </si>
  <si>
    <t>TRANS CENTER PAINT STORAGE</t>
  </si>
  <si>
    <t>Transportation Car/Bus Wash building</t>
  </si>
  <si>
    <t>Turbomachinery Office Building</t>
  </si>
  <si>
    <t>TVMC-ANIMAL ISOLATION BLD #1</t>
  </si>
  <si>
    <t>TVMC-ANIMAL ISOLATION BLD #2</t>
  </si>
  <si>
    <t>TVMC-ANIMAL ISOLATION BLD #3</t>
  </si>
  <si>
    <t>TVMC-ANIMAL ISOLATION BLD #4</t>
  </si>
  <si>
    <t>TVMC-ANIMAL ISOLATION BLD #5</t>
  </si>
  <si>
    <t>TVMC-ANIMAL ISOLATION BLD #6</t>
  </si>
  <si>
    <t>TVMC-ANIMAL ISOLATION BLD #7</t>
  </si>
  <si>
    <t>TVMC-ANIMAL ISOLATION BLD #8</t>
  </si>
  <si>
    <t>TVMC-BARN</t>
  </si>
  <si>
    <t>TVMC-BARN NO 2</t>
  </si>
  <si>
    <t>TVMC-DEER SHELTER</t>
  </si>
  <si>
    <t>TVMC-POLE BUILDING</t>
  </si>
  <si>
    <t>TVMC-VEHICLE STORAGE</t>
  </si>
  <si>
    <t>TVMC-WILDLIFE &amp; EXOTIC ANIMALS</t>
  </si>
  <si>
    <t>TX FOREST SERVICE GH HEADHOUSE</t>
  </si>
  <si>
    <t>TX FOREST SERVICE GREENHOUSE</t>
  </si>
  <si>
    <t>USAR DISASTER CITY CLASSROOM</t>
  </si>
  <si>
    <t>USAR DISASTER CITY OFFICE</t>
  </si>
  <si>
    <t>USAR DISASTER CITY RESTROOM</t>
  </si>
  <si>
    <t>USAR GATEWAY FACILITY</t>
  </si>
  <si>
    <t>USAR WAREHOUSE</t>
  </si>
  <si>
    <t>USDA GREENHOUSE 2</t>
  </si>
  <si>
    <t>Utilities Water Operations Building F&amp;B Storage</t>
  </si>
  <si>
    <t>VARSITY SOCCER PRESS BOX</t>
  </si>
  <si>
    <t>VOLATILE STORAGE BUILDING</t>
  </si>
  <si>
    <t>WATER LAB AT CUP</t>
  </si>
  <si>
    <t>WATER SUPPLY BUILDING</t>
  </si>
  <si>
    <t>WEED SCIENCE FIELD LAB</t>
  </si>
  <si>
    <t>WELLS FARGO BANK PLAZA</t>
  </si>
  <si>
    <t>WEST CAMPUS OFFICE PAVILION</t>
  </si>
  <si>
    <t>WIND TUNNEL COMPRESSOR BLDG</t>
  </si>
  <si>
    <t>WIND TUNNEL STORAGE BUILDING</t>
  </si>
  <si>
    <t>WWTP Digester Boiler Building</t>
  </si>
  <si>
    <t>WWTP Disinfection Building</t>
  </si>
  <si>
    <t>WWTP Equipment Storage Building</t>
  </si>
  <si>
    <t>WWTP Primary Pump Building</t>
  </si>
  <si>
    <t>WWTP Secondary Pump Building</t>
  </si>
  <si>
    <t>1111 RESEARCH PARKWAY BLDG</t>
  </si>
  <si>
    <t>12.47 KV SWITCHING STATION</t>
  </si>
  <si>
    <t>2 RESEARCH PARK</t>
  </si>
  <si>
    <t>2700 Earl Rudder Fwy South, Suite 1800</t>
  </si>
  <si>
    <t>3400 TEXAS (FAMILY HEALTH CTR)</t>
  </si>
  <si>
    <t>400 HARVEY MITCHELL, STE.100 (VALLEY PARK CENTER)</t>
  </si>
  <si>
    <t>4001 E. 29th Street, Suite 118</t>
  </si>
  <si>
    <t>702 E. UNIVERSITY, SUITE D</t>
  </si>
  <si>
    <t>702 E. UNIVERSITY, SUITE E</t>
  </si>
  <si>
    <t>707 TEXAS BLDG-E</t>
  </si>
  <si>
    <t>903B HARVEY ROAD</t>
  </si>
  <si>
    <t>915B HARVEY ROAD</t>
  </si>
  <si>
    <t>A&amp;M SYSTEM BUILDING</t>
  </si>
  <si>
    <t>ACADEMIC BUILDING</t>
  </si>
  <si>
    <t>ADAMS BAND HALL</t>
  </si>
  <si>
    <t>Administrative BLDG</t>
  </si>
  <si>
    <t>ADRIANCE LAB</t>
  </si>
  <si>
    <t>AEROSPACE ENG WIND TUNNEL (UNSTEADY WIND TUNNEL)</t>
  </si>
  <si>
    <t>Aerospace HANGAR</t>
  </si>
  <si>
    <t>AG COMM PRINT CTR &amp; STORAGE BLD</t>
  </si>
  <si>
    <t>AG ENGINEERING POWER &amp; MACHINERY BUILDING</t>
  </si>
  <si>
    <t>AG ENGR RES LAB &amp; SHOP</t>
  </si>
  <si>
    <t>AGRONOMY FIELD CROP LABORATORY</t>
  </si>
  <si>
    <t>AGRONOMY FIELD LAB</t>
  </si>
  <si>
    <t>ALBRITTON BELL TOWER</t>
  </si>
  <si>
    <t>ALL FAITHS CHAPEL</t>
  </si>
  <si>
    <t>ALL SAFE STORAGE</t>
  </si>
  <si>
    <t>ALLEN BUILDING (ACADEMIC WEST)</t>
  </si>
  <si>
    <t>AM VI OFFICE AND SHOPS</t>
  </si>
  <si>
    <t>AN SCI EQUINE NUTRITION BARN</t>
  </si>
  <si>
    <t>ANIMAL INDUSTRIES BUILDING</t>
  </si>
  <si>
    <t>ANIMAL SHELTER</t>
  </si>
  <si>
    <t>ANNENBERG PRESIDENTIAL CONFERENCE CENTER</t>
  </si>
  <si>
    <t>ANTHROPOLOGY BUILDING</t>
  </si>
  <si>
    <t>APPELT RESIDENCE HALL</t>
  </si>
  <si>
    <t>AQUACULTURE LAB</t>
  </si>
  <si>
    <t>ARCHAEOLOGICAL PROJECTS BLDG</t>
  </si>
  <si>
    <t>ARCHITECTURE BUILDING B</t>
  </si>
  <si>
    <t>ARCHITECTURE BUILDING C</t>
  </si>
  <si>
    <t>ARCHITECTURE RANCH</t>
  </si>
  <si>
    <t>Arctic Wolf Ice Rink</t>
  </si>
  <si>
    <t>ASTON RESIDENCE HALL</t>
  </si>
  <si>
    <t>AVENUE A APT#1</t>
  </si>
  <si>
    <t>AVENUE A APT#10</t>
  </si>
  <si>
    <t>AVENUE A APT#11</t>
  </si>
  <si>
    <t>AVENUE A APT#2</t>
  </si>
  <si>
    <t>AVENUE A APT#3</t>
  </si>
  <si>
    <t>AVENUE A APT#4</t>
  </si>
  <si>
    <t>AVENUE A APT#5</t>
  </si>
  <si>
    <t>AVENUE A APT#6</t>
  </si>
  <si>
    <t>AVENUE A APT#7</t>
  </si>
  <si>
    <t>AVENUE A APT#8</t>
  </si>
  <si>
    <t>AVENUE A APT#9</t>
  </si>
  <si>
    <t>BATH HOUSE</t>
  </si>
  <si>
    <t>BEASLEY LABORATORY</t>
  </si>
  <si>
    <t>BECKY GATES CHILDREN'S CENTER</t>
  </si>
  <si>
    <t>BECKY GATES CHILDREN'S CENTER MULTIPURPOSE BLDG</t>
  </si>
  <si>
    <t>BEEF CATTLE CENTER HEADQUARTERS</t>
  </si>
  <si>
    <t>BELL BUILDING</t>
  </si>
  <si>
    <t>BEUTEL HEALTH CENTER</t>
  </si>
  <si>
    <t>BILLY BRYANT BARN</t>
  </si>
  <si>
    <t>BIOCHEMISTRY/BIOPHYSICS BUILDNG</t>
  </si>
  <si>
    <t>BIOLOGICAL CONTROL FACILITY</t>
  </si>
  <si>
    <t>BIOLOGICAL SCIENCES BLDG. EAST</t>
  </si>
  <si>
    <t>BIOLOGICAL SCIENCES BLDG. WEST</t>
  </si>
  <si>
    <t>BIOLOGY GREENHOUSE</t>
  </si>
  <si>
    <t>BIOLOGY STORAGE</t>
  </si>
  <si>
    <t>BIZZELL HALL</t>
  </si>
  <si>
    <t>BLOCKER BUILDING</t>
  </si>
  <si>
    <t>BOLTON HALL</t>
  </si>
  <si>
    <t>BORLAUG CENTER FOR SOUTHERN CROP IMPROVEMENT</t>
  </si>
  <si>
    <t>BREAK ROOM AT CENTRAL UTILITY PLANT</t>
  </si>
  <si>
    <t>BREEDING CENTER</t>
  </si>
  <si>
    <t>BRIGGS HALL - DORM 3</t>
  </si>
  <si>
    <t>BRIGHT BUILDING</t>
  </si>
  <si>
    <t>BRIGHT FOOTBALL COMPLEX</t>
  </si>
  <si>
    <t>BUSH LIBRARY: MUSEUM &amp; ARCHIVE</t>
  </si>
  <si>
    <t>BUSINESS MANAGEMENT SERVICES BUILDNG</t>
  </si>
  <si>
    <t>BUTLER HALL</t>
  </si>
  <si>
    <t>CABIN AT CHALLENGE COURSE</t>
  </si>
  <si>
    <t>CAIN HALL</t>
  </si>
  <si>
    <t>CARDIOVASCULAR PATHOLOGY LABORATORY</t>
  </si>
  <si>
    <t>CATER-MATTIL HALL</t>
  </si>
  <si>
    <t>CE/TTI OFFICE &amp; LAB BUILDING</t>
  </si>
  <si>
    <t>CENTEQ BUILDING</t>
  </si>
  <si>
    <t>CENTER FOR URBAN AND STRUCTURAL ENTOMOLOGY (CUSE)</t>
  </si>
  <si>
    <t>CENTRAL CAMPUS PARKING GARAGE</t>
  </si>
  <si>
    <t>CENTRAL UTILITY PLANT</t>
  </si>
  <si>
    <t>CHAPEL &amp; ASSEMBLY HALL</t>
  </si>
  <si>
    <t>CHEMICAL SUPPLIES STORAGE</t>
  </si>
  <si>
    <t>CHEMISTRY BUILDING</t>
  </si>
  <si>
    <t>CHEMISTRY BUILDING ADDITION</t>
  </si>
  <si>
    <t>CHEMISTRY CHEMICAL STORAGE</t>
  </si>
  <si>
    <t>CIVIL ENGINEERING BUILDING</t>
  </si>
  <si>
    <t>CIVILIAN LOUNGE - A1</t>
  </si>
  <si>
    <t>CIVILIAN LOUNGE - A2</t>
  </si>
  <si>
    <t>CIVILIAN LOUNGE - A3</t>
  </si>
  <si>
    <t>CIVILIAN LOUNGE - B1</t>
  </si>
  <si>
    <t>CIVILIAN LOUNGE - C1</t>
  </si>
  <si>
    <t>CLASSROOM AT CHALLENGE COURSE</t>
  </si>
  <si>
    <t>CLEMENTS RESIDENCE HALL</t>
  </si>
  <si>
    <t>Coastal Engineering Lab</t>
  </si>
  <si>
    <t>COKE BUILDING</t>
  </si>
  <si>
    <t>COMMONS</t>
  </si>
  <si>
    <t>COMPUTING SERVICES CENTER</t>
  </si>
  <si>
    <t>CONCRETE MATERIALS LABORATORY</t>
  </si>
  <si>
    <t>CONNALLY BUILDING</t>
  </si>
  <si>
    <t>CONSERVATION PROJECTS</t>
  </si>
  <si>
    <t>CONSERVATION RESEARCH LAB</t>
  </si>
  <si>
    <t>CONTROL TOWER</t>
  </si>
  <si>
    <t>CORPS LOUNGE - A</t>
  </si>
  <si>
    <t>CORPS LOUNGE - B</t>
  </si>
  <si>
    <t>CORPS LOUNGE - D</t>
  </si>
  <si>
    <t>CORPS LOUNGE - E</t>
  </si>
  <si>
    <t>CORPS LOUNGE - F</t>
  </si>
  <si>
    <t>COTTON GINNING LAB</t>
  </si>
  <si>
    <t>COX-McFERRIN CENTER FOR AGGIE BASKETBALL</t>
  </si>
  <si>
    <t>CROCKER RESIDENCE HALL</t>
  </si>
  <si>
    <t>CUBBY HOLE TEXAS SELF-STORAGE</t>
  </si>
  <si>
    <t>CUSE-CHEMISTRY</t>
  </si>
  <si>
    <t>CUSE-INSECT TESTING LAB</t>
  </si>
  <si>
    <t>CUSE-RESEARCH LABS</t>
  </si>
  <si>
    <t>DAVIS-GARY RESIDENCE HALL</t>
  </si>
  <si>
    <t>DOHERTY BUILDING</t>
  </si>
  <si>
    <t>DONALD L. HOUSTON BUILDING</t>
  </si>
  <si>
    <t>DPC ANNEX</t>
  </si>
  <si>
    <t>DRY FEED STORAGE FACILITY</t>
  </si>
  <si>
    <t>DUNCAN DINING HALL</t>
  </si>
  <si>
    <t>DUNN RESIDENCE HALL</t>
  </si>
  <si>
    <t>EAST MARK BUILDING</t>
  </si>
  <si>
    <t>EASTERWOOD AIRPORT HANGAR</t>
  </si>
  <si>
    <t>EASTERWOOD GENERAL AVIATION TERMINAL</t>
  </si>
  <si>
    <t>EASTERWOOD HANGAR 1091</t>
  </si>
  <si>
    <t>EASTERWOOD HANGAR 1092</t>
  </si>
  <si>
    <t>EASTERWOOD RESCUE AND FIRE FACILITY</t>
  </si>
  <si>
    <t>EASTERWOOD SHOPS</t>
  </si>
  <si>
    <t>ELECTRON BEAM FOOD RESEARCH FACILITY</t>
  </si>
  <si>
    <t>ELEN STORAGE</t>
  </si>
  <si>
    <t>ENERGY SYSTEMS LAB</t>
  </si>
  <si>
    <t>ENGINEERING/PHYSICS OFFICE TOWER</t>
  </si>
  <si>
    <t>ENTOMOLOGY APIARY BLDG</t>
  </si>
  <si>
    <t>ENTOMOLOGY RESEARCH LAB</t>
  </si>
  <si>
    <t>EPPRIGHT RESIDENCE HALL</t>
  </si>
  <si>
    <t>EQUINE CENTER STABLE</t>
  </si>
  <si>
    <t>ESTI BREATHING APPARATUS COMPRESSOR BUILDING</t>
  </si>
  <si>
    <t>ESTI BREATHING APPARATUS MAZE</t>
  </si>
  <si>
    <t>ESTI BREATHING APPARATUS STORAGE</t>
  </si>
  <si>
    <t>ESTI DRILL TOWER</t>
  </si>
  <si>
    <t>ESTI EXTINGUISHER REFILL BUILDING</t>
  </si>
  <si>
    <t>ESTI FIELD MAINTENANCE OFFICE</t>
  </si>
  <si>
    <t>ESTI FIXED SYSTEM CLASSROOM</t>
  </si>
  <si>
    <t>ESTI HAY BARN</t>
  </si>
  <si>
    <t>ESTI HAZ MAT OFFICE</t>
  </si>
  <si>
    <t>ESTI HAZ MAT TECHNICIAN SHOP</t>
  </si>
  <si>
    <t>ESTI HAZARDOUS MATRL CLASSROOM</t>
  </si>
  <si>
    <t>ESTI INDUSTRIAL CLASSROOM</t>
  </si>
  <si>
    <t>ESTI MARINE CLASSROOM/FIRST AID</t>
  </si>
  <si>
    <t>ESTI MUNICIPAL CLASSROOM</t>
  </si>
  <si>
    <t>ESTI PRIVATE SECTOR OFFICE</t>
  </si>
  <si>
    <t>ESTI PUMP / VEHICLE MAINTENANCE</t>
  </si>
  <si>
    <t>ESTI PUMP MAINTENANCE BUILDING</t>
  </si>
  <si>
    <t>ESTI PUMP OPERATIONS BUILDING</t>
  </si>
  <si>
    <t>ESTI RECRUIT CLASSROOM / FIRE STATION</t>
  </si>
  <si>
    <t>ESTI RESCUE CLASSROOM</t>
  </si>
  <si>
    <t>ESTI SPRINKLER SYSTEMS</t>
  </si>
  <si>
    <t>ESTI TECHNICAL EQUIPMENT STORAGE</t>
  </si>
  <si>
    <t>ESTI WOOD STORAGE</t>
  </si>
  <si>
    <t>EVANS LIBRARY</t>
  </si>
  <si>
    <t>EXECUTIVE OFFICE PLAZA, BRYAN TX</t>
  </si>
  <si>
    <t>EXTENSION CENTER OFFICE BUILDING</t>
  </si>
  <si>
    <t>FARM SERVICE OFFICE</t>
  </si>
  <si>
    <t>FARM SERVICE SHOP</t>
  </si>
  <si>
    <t>FARROWING/NURSERY</t>
  </si>
  <si>
    <t>FATS &amp; OILS PROCESSING BLDG</t>
  </si>
  <si>
    <t>FERMIER HALL</t>
  </si>
  <si>
    <t>FIRE STATION</t>
  </si>
  <si>
    <t>FLEET SERVICES</t>
  </si>
  <si>
    <t>FLIGHT LAB STORAGE</t>
  </si>
  <si>
    <t>FLORICULTURE GREENHOUSE</t>
  </si>
  <si>
    <t>FLORICULTURE GROWING FACILITY</t>
  </si>
  <si>
    <t>FLORICULTURE RESEARCH GREENHSE</t>
  </si>
  <si>
    <t>FOOD SERVICES COMMISSARY</t>
  </si>
  <si>
    <t>FOREST GENETICS - GREENHOUSE</t>
  </si>
  <si>
    <t>FOREST SCIENCE LABORATORY BUILDING</t>
  </si>
  <si>
    <t>FOUNDATION SEED BUILDING</t>
  </si>
  <si>
    <t>FOUNTAIN HALL - DORM 4</t>
  </si>
  <si>
    <t>FOWLER RESIDENCE HALL</t>
  </si>
  <si>
    <t>FRANCIS HALL</t>
  </si>
  <si>
    <t>FREEMAN ARENA</t>
  </si>
  <si>
    <t>G. ROLLIE WHITE COLISEUM</t>
  </si>
  <si>
    <t>GAINER HALL - DORM 5</t>
  </si>
  <si>
    <t>GENERAL SERVICES COMPLEX</t>
  </si>
  <si>
    <t>GEORGE P. MITCHELL '40 OUTDOOR TENNIS CENTER</t>
  </si>
  <si>
    <t>GILCHRIST BUILDING (T.T.I.)</t>
  </si>
  <si>
    <t>GOLF COURSE CLUBHOUSE</t>
  </si>
  <si>
    <t>GOLF COURSE MAINTENANCE SHOP</t>
  </si>
  <si>
    <t>GOOD LAB PRACTICES</t>
  </si>
  <si>
    <t>GRAPHIC SERVICES</t>
  </si>
  <si>
    <t>GROUNDS MAINTENANCE OFFICE SHOP/STOR</t>
  </si>
  <si>
    <t>GROUNDS MAINTENANCE SUPPLY BLDG</t>
  </si>
  <si>
    <t>GROVE TEMPORARY BUILDING</t>
  </si>
  <si>
    <t>GUAYULE EXTRACTION BUILDING</t>
  </si>
  <si>
    <t>HAAS RESIDENCE HALL</t>
  </si>
  <si>
    <t>HAGLER CENTER</t>
  </si>
  <si>
    <t>HALBOUTY GEOSCIENCES BUILDING</t>
  </si>
  <si>
    <t>HARRELL HALL - DORM 8</t>
  </si>
  <si>
    <t>HARRINGTON EDUCATION CENTER CLASSROOM BUILDING</t>
  </si>
  <si>
    <t>HARRINGTON EDUCATION CENTER OFFICE TOWER</t>
  </si>
  <si>
    <t>HARRINGTON HALL - DORM 11</t>
  </si>
  <si>
    <t>HART RESIDENCE HALL</t>
  </si>
  <si>
    <t>HAZARDOUS WASTE STORAGE BLDG</t>
  </si>
  <si>
    <t>HEATON HALL</t>
  </si>
  <si>
    <t>HEEP CENTER</t>
  </si>
  <si>
    <t>HEEP LABORATORY BUILDING</t>
  </si>
  <si>
    <t>HELDENFELS HALL</t>
  </si>
  <si>
    <t>HENDERSON HALL</t>
  </si>
  <si>
    <t>HOBBY RESIDENCE HALL</t>
  </si>
  <si>
    <t>HORSE CENTER</t>
  </si>
  <si>
    <t>Horticulture Classroom</t>
  </si>
  <si>
    <t>Horticulture Garden Volunteer Office</t>
  </si>
  <si>
    <t>HORTICULTURE GREENHOUSE</t>
  </si>
  <si>
    <t>Horticulture Office</t>
  </si>
  <si>
    <t>HORTICULTURE SCIENCE FIELD RESIDENCE &amp; STORAGE</t>
  </si>
  <si>
    <t>HORTICULTURE SHOP AND GARAGE</t>
  </si>
  <si>
    <t>HORTICULTURE/FOREST SCIENCE BUILDING</t>
  </si>
  <si>
    <t>HOTARD HALL</t>
  </si>
  <si>
    <t>HUGHES RESIDENCE HALL</t>
  </si>
  <si>
    <t>HYDROMECHANICS LABORATORY</t>
  </si>
  <si>
    <t>INSTRUCTIONAL MATERIALS SERV</t>
  </si>
  <si>
    <t>INTEGRATED OCEAN DRILLING BUILDING</t>
  </si>
  <si>
    <t>INTERDISCIPLINARY LIFE SCIENCES BUILDING</t>
  </si>
  <si>
    <t>IODP HAZMAT CONTAINMENT</t>
  </si>
  <si>
    <t>IODP/OCEANOGRAPHY BLDG</t>
  </si>
  <si>
    <t>ITSI STORAGE</t>
  </si>
  <si>
    <t>JACK E. BROWN CHEMICAL ENGINEERING BUILDING</t>
  </si>
  <si>
    <t>JACK K. WILLIAMS ADMINISTRATION BUILDING</t>
  </si>
  <si>
    <t>JAMES J. CAIN '51 BUILDING</t>
  </si>
  <si>
    <t>KEATHLEY RESIDENCE HALL</t>
  </si>
  <si>
    <t>KIEST HALL - DORM 2</t>
  </si>
  <si>
    <t>KLEBERG CENTER</t>
  </si>
  <si>
    <t>KOLDUS BUILDING</t>
  </si>
  <si>
    <t>KRUEGER RESIDENCE HALL</t>
  </si>
  <si>
    <t>KYLE FIELD</t>
  </si>
  <si>
    <t>LABORATORY ANIMAL CARE BUILDING</t>
  </si>
  <si>
    <t>LACY HALL - DORM 6</t>
  </si>
  <si>
    <t>LAND, AIR, SPACE ROBOTICS</t>
  </si>
  <si>
    <t>LANGFORD ARCHITECTURE CENTER BUILDING A</t>
  </si>
  <si>
    <t>LARR SUPPORT PERSONNEL BLDG</t>
  </si>
  <si>
    <t>LAUNDRY</t>
  </si>
  <si>
    <t>LECHNER RESIDENCE HALL</t>
  </si>
  <si>
    <t>LEGETT RESIDENCE HALL</t>
  </si>
  <si>
    <t>LEONARD HALL - DORM 7</t>
  </si>
  <si>
    <t>LINDSEY BUILDING</t>
  </si>
  <si>
    <t>LONE STAR STORAGE CENTER</t>
  </si>
  <si>
    <t>LUEDECKE BUILDING (CYCLOTRON)</t>
  </si>
  <si>
    <t>MAINTENANCE SHOP AT CENTRAL UTILITY PLANT</t>
  </si>
  <si>
    <t>MCFADDEN RESIDENCE HALL</t>
  </si>
  <si>
    <t>McFERRIN ATHLETIC CENTER-INDOOR FOOTBALL</t>
  </si>
  <si>
    <t>McFERRIN ATHLETIC CENTER-INDOOR TRACK</t>
  </si>
  <si>
    <t>MCINNIS RESIDENCE HALL</t>
  </si>
  <si>
    <t>MCKENZIE TERMINAL BUILDING</t>
  </si>
  <si>
    <t>MCNEW LABORATORY</t>
  </si>
  <si>
    <t>MECHANICAL TECH LAB</t>
  </si>
  <si>
    <t>MEDICAL SCIENCES LIBRARY</t>
  </si>
  <si>
    <t>MELBERN G. GLASSCOCK BUILDING</t>
  </si>
  <si>
    <t>MEMORIAL STUDENT CENTER</t>
  </si>
  <si>
    <t>MILITARY SCIENCES BUILDING</t>
  </si>
  <si>
    <t>MILNER HALL</t>
  </si>
  <si>
    <t>MITCHELL INST. FOR FUNDAMENTAL PHYS. AND ASTRONOMY</t>
  </si>
  <si>
    <t>MITCHELL PHYSICS BUILDING</t>
  </si>
  <si>
    <t>MITCHELL TENNIS CENTER TICKET BOOTH</t>
  </si>
  <si>
    <t>MOORE COMMUNICATIONS CENTER</t>
  </si>
  <si>
    <t>MOORE RESIDENCE HALL</t>
  </si>
  <si>
    <t>MOSES RESIDENCE HALL</t>
  </si>
  <si>
    <t>MOSHER RESIDENCE HALL</t>
  </si>
  <si>
    <t>MOSQUITO RESEARCH LAB</t>
  </si>
  <si>
    <t>Munnerlyn Astronomy &amp; Space Sciences Engineering</t>
  </si>
  <si>
    <t>N.S.C. HYPERBARIC LAB</t>
  </si>
  <si>
    <t>NAGLE HALL</t>
  </si>
  <si>
    <t>NAUTICAL ARCHAEOLOGY</t>
  </si>
  <si>
    <t>NAUTICAL ARCHEOLOGY STORAGE</t>
  </si>
  <si>
    <t>NEELEY RESIDENCE HALL</t>
  </si>
  <si>
    <t>NICKS LOW SPEED WIND TUNNEL</t>
  </si>
  <si>
    <t>NON SURGICAL ANIMAL PROCEDURE</t>
  </si>
  <si>
    <t>NORTHSIDE PARKING GARAGE</t>
  </si>
  <si>
    <t>NUCLEAR SCIENCE CENTER LABORATORY</t>
  </si>
  <si>
    <t>NUCLEAR SCIENCE CNTR</t>
  </si>
  <si>
    <t>NURSERY FLORAL FIELD LABORATORY</t>
  </si>
  <si>
    <t>NUTRITION/PHYSIOLOGY CENTER</t>
  </si>
  <si>
    <t>OCEAN DRILLING TEST FACILITY</t>
  </si>
  <si>
    <t>OCEANOGRAPHY &amp; METEOROLOGY BUILDING</t>
  </si>
  <si>
    <t>OFFICE BLDG</t>
  </si>
  <si>
    <t>OFFICE OF THE STATE CHEMIST BUILDING</t>
  </si>
  <si>
    <t>OFFSHORE TECHNOLOGY RESEARCH CENTER</t>
  </si>
  <si>
    <t>OLSEN (E.D.) GROVE PICNIC AREA</t>
  </si>
  <si>
    <t>OLSEN BASEBALL FIELD</t>
  </si>
  <si>
    <t>OLSEN FIELD BATTING CAGE FACILITY</t>
  </si>
  <si>
    <t>OMAR SMITH INSTRUCTIONAL TENNIS CENTER</t>
  </si>
  <si>
    <t>PAINT BOOTH</t>
  </si>
  <si>
    <t>PARKING TOLL BOOTH AT PA72</t>
  </si>
  <si>
    <t>PARSONS CAV CARETAKER FACILITY</t>
  </si>
  <si>
    <t>PARSONS MOUNTED CAV. TACK ROOM</t>
  </si>
  <si>
    <t>PAVILION</t>
  </si>
  <si>
    <t>PEARCE ANIMAL PAVILION</t>
  </si>
  <si>
    <t>PENBERTHY INTRAMURAL SPORTS CENTER</t>
  </si>
  <si>
    <t>PETERSON BUILDING</t>
  </si>
  <si>
    <t>PHOTOSENSITIVIZATION LAB</t>
  </si>
  <si>
    <t>PHY PLANT-GROUNDS MAINTENANCE</t>
  </si>
  <si>
    <t>PHYSICAL PLANT ADMINISTRATION &amp; SHOPS</t>
  </si>
  <si>
    <t>PHYSICS TEACHING OBSERVATORY</t>
  </si>
  <si>
    <t>PLANT PAT PHY FIELD LAB</t>
  </si>
  <si>
    <t>PLANT SCIENCE GREENHOUSE</t>
  </si>
  <si>
    <t>Plasma Science/Pulsed Power Facility</t>
  </si>
  <si>
    <t>POULTRY HEALTH RESEARCH LAB</t>
  </si>
  <si>
    <t>POULTRY SCI INTEGRATED REPRO</t>
  </si>
  <si>
    <t>POULTRY SCIENCE HEADQUARTERS</t>
  </si>
  <si>
    <t>PreFabWood Frame Office Bldg. - Riverside Campus</t>
  </si>
  <si>
    <t>PRESIDENT'S RESIDENCE</t>
  </si>
  <si>
    <t>PRICE HOBGOOD AG. ENGINEERING RESEARCH LAB.</t>
  </si>
  <si>
    <t>PROCESSING LAB</t>
  </si>
  <si>
    <t>PSYCHOLOGY BUILDING</t>
  </si>
  <si>
    <t>PUBLICATIONS PRO. CENTER</t>
  </si>
  <si>
    <t>PURCHASING &amp; STORES</t>
  </si>
  <si>
    <t>PURCHASING &amp; STORES - VOLATILE STORAGE</t>
  </si>
  <si>
    <t>RADIOACTIVE WASTE BUILDING</t>
  </si>
  <si>
    <t>RANGE SCIENCE FIELD LAB</t>
  </si>
  <si>
    <t>READ BUILDING</t>
  </si>
  <si>
    <t>REED ARENA</t>
  </si>
  <si>
    <t>REED HOUSE</t>
  </si>
  <si>
    <t>REED-MCDONALD BUILDING</t>
  </si>
  <si>
    <t>REFINERY</t>
  </si>
  <si>
    <t>REFUSE COLLECTION MAINTENANCE</t>
  </si>
  <si>
    <t>REPRODUCTIVE SCIENCES LAB</t>
  </si>
  <si>
    <t>RESEARCH PARK MAINTENANCE BLDG</t>
  </si>
  <si>
    <t>RESEARCH SUPPORT BLDG</t>
  </si>
  <si>
    <t>REYNOLDS MEDICAL SCIENCES BUILDING</t>
  </si>
  <si>
    <t>RICHARDSON PETROLEUM ENGINEERING BUILDING</t>
  </si>
  <si>
    <t>RIVERSIDE WATER DISTRIBUTION PUMP STATION</t>
  </si>
  <si>
    <t>ROBOTIC OBSERVATORY</t>
  </si>
  <si>
    <t>ROSENTHAL MEAT SCIENCE &amp; TECHNOLOGY CENTER</t>
  </si>
  <si>
    <t>RUDDER RESIDENCE HALL</t>
  </si>
  <si>
    <t>RUDDER TOWER</t>
  </si>
  <si>
    <t>SANDERS CORPS OF CADETS CENTER</t>
  </si>
  <si>
    <t>SATELLITE UTILITY PLANT NO. 1</t>
  </si>
  <si>
    <t>SATELLITE UTILITY PLANT NO. 2</t>
  </si>
  <si>
    <t>SATELLITE UTILITY PLANT NO. 3</t>
  </si>
  <si>
    <t>SBISA DINING HALL</t>
  </si>
  <si>
    <t>SCHMIDT HOUSE</t>
  </si>
  <si>
    <t>School of Rural Public Health - A</t>
  </si>
  <si>
    <t>School of Rural Public Health - B</t>
  </si>
  <si>
    <t>School of Rural Public Health - C</t>
  </si>
  <si>
    <t>SCHUBOT AVIARY BR FACILITY</t>
  </si>
  <si>
    <t>SCHUHMACHER RESIDENCE HALL</t>
  </si>
  <si>
    <t>SCOATES HALL</t>
  </si>
  <si>
    <t>SHED AT CHALLENGE COURSE</t>
  </si>
  <si>
    <t>SHEEP &amp; GOAT CENTER</t>
  </si>
  <si>
    <t>SMITH TENNIS CENTER</t>
  </si>
  <si>
    <t>SOCCER BUILDING</t>
  </si>
  <si>
    <t>SOFTBALL BUILDING</t>
  </si>
  <si>
    <t>SOIL &amp; CROP SCI DRY PROCESSING</t>
  </si>
  <si>
    <t>SOIL/CROP COTTON GENETIC GREENHOUSE</t>
  </si>
  <si>
    <t>SOLVENT EXTRACTION BUILDING</t>
  </si>
  <si>
    <t>SOUTH SIDE PARKING GARAGE</t>
  </si>
  <si>
    <t>Southern Crop Improvement Greenhouse</t>
  </si>
  <si>
    <t>SPENCE HALL - DORM 1</t>
  </si>
  <si>
    <t>STATE CHEMIST BUILDING</t>
  </si>
  <si>
    <t>STEED RESEARCH &amp; CONDITIONING LAB</t>
  </si>
  <si>
    <t>STORAGE AND LAB--CYCLOTRON</t>
  </si>
  <si>
    <t>STORAGE AND RESEARCH LAB</t>
  </si>
  <si>
    <t>STORAGE BUILDING</t>
  </si>
  <si>
    <t>STUDENT MEDIA TEMPORARY BUILDING</t>
  </si>
  <si>
    <t>STUDENT RECREATION CENTER</t>
  </si>
  <si>
    <t>Substation (West Campus)</t>
  </si>
  <si>
    <t>TAC REALTY HANGER</t>
  </si>
  <si>
    <t>TAES ANNEX BUILDING</t>
  </si>
  <si>
    <t>TCE PROGRAM SUPPORT BLDG 1</t>
  </si>
  <si>
    <t>TCE PROGRAM SUPPORT BLDG 2</t>
  </si>
  <si>
    <t>TEAGUE RESEARCH CENTER</t>
  </si>
  <si>
    <t>TEES RECORDS ARCHIVE</t>
  </si>
  <si>
    <t>TEES SMOKE DETECTOR RESEARCH</t>
  </si>
  <si>
    <t>TEES STATE HEADQUARTERS BLDG.</t>
  </si>
  <si>
    <t>TEEX - ITSI</t>
  </si>
  <si>
    <t>TEEX - ITSI TECH BLDG</t>
  </si>
  <si>
    <t>TEEX - PS&amp;S DRIVING TRACK PAVILION</t>
  </si>
  <si>
    <t>TEEX - PS&amp;S OFFICE BLDG</t>
  </si>
  <si>
    <t>TEEX - PS&amp;S PROP HOUSE #1</t>
  </si>
  <si>
    <t>TEEX - PS&amp;S PROP HOUSE #2</t>
  </si>
  <si>
    <t>TEEX COPY CENTER</t>
  </si>
  <si>
    <t>TEEX HANGER/CLASSROOMS</t>
  </si>
  <si>
    <t>TEEX ITSI GARAGE &amp; OFFICES</t>
  </si>
  <si>
    <t>TEEX ITSI OFFICES</t>
  </si>
  <si>
    <t>TEEX ITSI OFFICES - WATER LAB</t>
  </si>
  <si>
    <t>TEEX ITSI SHOP</t>
  </si>
  <si>
    <t>TEEX STORAGE</t>
  </si>
  <si>
    <t>TEEX WAREHOUSE</t>
  </si>
  <si>
    <t>TELECOMMUNICATIONS BUILDING</t>
  </si>
  <si>
    <t>TENNIS COURT RESTROOMS</t>
  </si>
  <si>
    <t>Texas A&amp;M Institute for Preclinical Studies A</t>
  </si>
  <si>
    <t>Texas A&amp;M Institute for Preclinical Studies B</t>
  </si>
  <si>
    <t>Texas A&amp;M Institute for Preclinical Studies C</t>
  </si>
  <si>
    <t>TEXAS INSTITUTE FOR GENOMIC MEDICINE</t>
  </si>
  <si>
    <t>TEXAS VET MED DIAGNOSTIC LAB</t>
  </si>
  <si>
    <t>THE STORAGE STATION</t>
  </si>
  <si>
    <t>THE ZEN BOX</t>
  </si>
  <si>
    <t>Theriogenology Facility, Equine Reproduction</t>
  </si>
  <si>
    <t>THOMPSON HALL</t>
  </si>
  <si>
    <t>THOMSEN ANIMAL EUTHENICS CENTER</t>
  </si>
  <si>
    <t>TRACK &amp; FIELD CTR TICKET BOOTH</t>
  </si>
  <si>
    <t>TRACK &amp; FIELD SUPPORT CENTER</t>
  </si>
  <si>
    <t>TRAINING/TRACK BUILDING</t>
  </si>
  <si>
    <t>TRANSFORMER WAREHOUSE</t>
  </si>
  <si>
    <t>TRANSIT SERVICES</t>
  </si>
  <si>
    <t>Transportation Services Barricade Storage</t>
  </si>
  <si>
    <t>TRUCK MAINTENANCE SHOP</t>
  </si>
  <si>
    <t>TTI Erosion and Sediment Control Laboratory/Rainfa</t>
  </si>
  <si>
    <t>TTI HANGAR OFFICE BLDG</t>
  </si>
  <si>
    <t>TTI MACHINING FACILITY</t>
  </si>
  <si>
    <t>TTI PAVEMENTS RESEARCH FACILITY</t>
  </si>
  <si>
    <t>TTI PENDULUM TEST FACILITY</t>
  </si>
  <si>
    <t>TTI RESEARCH</t>
  </si>
  <si>
    <t>TTI SAFETY DIVISION HANGAR</t>
  </si>
  <si>
    <t>TTI Storage</t>
  </si>
  <si>
    <t>TURBO LAB STORAGE</t>
  </si>
  <si>
    <t>TURBOMACHINERY LABORATORY</t>
  </si>
  <si>
    <t>TURFGRASS FIELD LAB</t>
  </si>
  <si>
    <t>TVMC-ANIMAL ISOLATION BLD #9</t>
  </si>
  <si>
    <t>TVMC-BARN NO. 3</t>
  </si>
  <si>
    <t>TVMC-CAGED ANIMALS</t>
  </si>
  <si>
    <t>TVMC-EQUINE BREEDING LABORATORY</t>
  </si>
  <si>
    <t>TVMC-EXPERIMENTAL ANIMAL BLDG</t>
  </si>
  <si>
    <t>TVMC-ISOLATION LABORATORY</t>
  </si>
  <si>
    <t>TVMC-LAB ANIMAL SHELTER</t>
  </si>
  <si>
    <t>TVMC-POULTRY DISEASE RESEARCH</t>
  </si>
  <si>
    <t>TVMC-POULTRY RESEARCH</t>
  </si>
  <si>
    <t>TVMC-REPRODUCTION BARN</t>
  </si>
  <si>
    <t>TVMC-SMALL ANIMAL BUILDING</t>
  </si>
  <si>
    <t>TVMC-SMALL ANIMAL RESEARCH BLDG</t>
  </si>
  <si>
    <t>TVMC-SURGERY BUILDING</t>
  </si>
  <si>
    <t>UNDERWOOD RESIDENCE HALL</t>
  </si>
  <si>
    <t>University Apartments Community Center</t>
  </si>
  <si>
    <t>UNIVERSITY APTS. COMMUNITY MAINTENANCE BLDG.</t>
  </si>
  <si>
    <t>UNIVERSITY CENTER PARKING GARAGE</t>
  </si>
  <si>
    <t>UNIVERSITY SERVICES BLDG</t>
  </si>
  <si>
    <t>USDA GREENHOUSE 1</t>
  </si>
  <si>
    <t>UTAY HALL - DORM 12</t>
  </si>
  <si>
    <t>UTILITIES BUSINESS OFFICE</t>
  </si>
  <si>
    <t>UTILITIES ENERGY OFFICE ANNEX</t>
  </si>
  <si>
    <t>Utilities Inventory Warehouse Building 1</t>
  </si>
  <si>
    <t>VENDING MACHINE BOOTH</t>
  </si>
  <si>
    <t>Veterinary Anatomic Pathology</t>
  </si>
  <si>
    <t>VETERINARY LARGE ANIMAL HOSPITAL</t>
  </si>
  <si>
    <t>VETERINARY MEDICAL SCIENCES BUILDING</t>
  </si>
  <si>
    <t>VETERINARY MEDICINE ADMINISTRATION</t>
  </si>
  <si>
    <t>VETERINARY RESEARCH BUILDING</t>
  </si>
  <si>
    <t>VETERINARY SMALL ANIMAL HOSPITAL</t>
  </si>
  <si>
    <t>VETERINARY TEACHING HOSPITAL</t>
  </si>
  <si>
    <t>VICE PRESIDENT'S RESIDENCE</t>
  </si>
  <si>
    <t>VIRUS-VECTOR RESEARCH LAB</t>
  </si>
  <si>
    <t>VIVARIUM III</t>
  </si>
  <si>
    <t>VMP SHOP</t>
  </si>
  <si>
    <t>VOLATILE STORAGE</t>
  </si>
  <si>
    <t>W.P. LUSE FOUNDATION BUILDING</t>
  </si>
  <si>
    <t>WALTON RESIDENCE HALL</t>
  </si>
  <si>
    <t>WAREHOUSE</t>
  </si>
  <si>
    <t>Wash Rack</t>
  </si>
  <si>
    <t>WASTEWATER TREATMENT PLANT</t>
  </si>
  <si>
    <t>WATER DISTRIBUTION PUMP STATION NO. 1</t>
  </si>
  <si>
    <t>WATER DISTRIBUTION PUMP STATION NO. 2</t>
  </si>
  <si>
    <t>WATER TOWER</t>
  </si>
  <si>
    <t>WEHNER BUILDING</t>
  </si>
  <si>
    <t>WELL FIELD PUMP STATION</t>
  </si>
  <si>
    <t>WELLS RESIDENCE HALL</t>
  </si>
  <si>
    <t>WEST CAMPUS LIBRARY FACILITY</t>
  </si>
  <si>
    <t>WEST CAMPUS PARKING GARAGE</t>
  </si>
  <si>
    <t>WEST CAMPUS SWITCHING STATION</t>
  </si>
  <si>
    <t>WHITE (G.R.) CONFERENCE CTR</t>
  </si>
  <si>
    <t>WHITE HALL - DORM 10</t>
  </si>
  <si>
    <t>WHITELY HALL - DORM 9</t>
  </si>
  <si>
    <t>WILDLIFE &amp; EXOTIC ANIMAL CTR</t>
  </si>
  <si>
    <t>WIRELESS TELECOMMUNICATIONS FACILITY</t>
  </si>
  <si>
    <t>WISENBAKER ENGINEERING RESEARCH CENTER</t>
  </si>
  <si>
    <t>YMCA BUILDING</t>
  </si>
  <si>
    <t>ZACHRY ENGINEERING CENTER</t>
  </si>
  <si>
    <t>Count of Bldg</t>
  </si>
  <si>
    <t>U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</si>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</sst>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823" sheet="Recovered_Sheet1"/>
  </cacheSource>
  <cacheFields count="26">
    <cacheField name="Year">
      <sharedItems containsMixedTypes="0"/>
    </cacheField>
    <cacheField name="Bldg">
      <sharedItems containsMixedTypes="0" count="822">
        <s v="0007"/>
        <s v="0010"/>
        <s v="0014"/>
        <s v="0027"/>
        <s v="0039"/>
        <s v="0040"/>
        <s v="0041"/>
        <s v="0042"/>
        <s v="0043"/>
        <s v="0044"/>
        <s v="0045"/>
        <s v="0046"/>
        <s v="0047"/>
        <s v="0048"/>
        <s v="0050"/>
        <s v="0051"/>
        <s v="0052"/>
        <s v="0053"/>
        <s v="0054"/>
        <s v="0055"/>
        <s v="0056"/>
        <s v="0057"/>
        <s v="0058"/>
        <s v="0059"/>
        <s v="0060"/>
        <s v="0107"/>
        <s v="0113"/>
        <s v="0114"/>
        <s v="0116"/>
        <s v="0139"/>
        <s v="0145"/>
        <s v="0148"/>
        <s v="0149"/>
        <s v="0170"/>
        <s v="0276"/>
        <s v="0277"/>
        <s v="0278"/>
        <s v="0279"/>
        <s v="0290"/>
        <s v="0291"/>
        <s v="0292"/>
        <s v="0293"/>
        <s v="0294"/>
        <s v="0296"/>
        <s v="0297"/>
        <s v="0298"/>
        <s v="0299"/>
        <s v="0301"/>
        <s v="0302"/>
        <s v="0303"/>
        <s v="0304"/>
        <s v="0307"/>
        <s v="0308"/>
        <s v="0314"/>
        <s v="0315"/>
        <s v="0320"/>
        <s v="0323"/>
        <s v="0324"/>
        <s v="0342"/>
        <s v="0344"/>
        <s v="0345"/>
        <s v="0347"/>
        <s v="0348"/>
        <s v="0350"/>
        <s v="0353"/>
        <s v="0354"/>
        <s v="0356"/>
        <s v="0357"/>
        <s v="0359"/>
        <s v="0360"/>
        <s v="0361"/>
        <s v="0362"/>
        <s v="0364"/>
        <s v="0367"/>
        <s v="0369"/>
        <s v="0370"/>
        <s v="0371"/>
        <s v="0372"/>
        <s v="0373"/>
        <s v="0376"/>
        <s v="0377"/>
        <s v="0378"/>
        <s v="0379"/>
        <s v="0380"/>
        <s v="0381"/>
        <s v="0382"/>
        <s v="0383"/>
        <s v="0384"/>
        <s v="0385"/>
        <s v="0386"/>
        <s v="0387"/>
        <s v="0388"/>
        <s v="0389"/>
        <s v="0391"/>
        <s v="0392"/>
        <s v="0393"/>
        <s v="0394"/>
        <s v="0398"/>
        <s v="0399"/>
        <s v="0400"/>
        <s v="0401"/>
        <s v="0402"/>
        <s v="0403"/>
        <s v="0404"/>
        <s v="0405"/>
        <s v="0406"/>
        <s v="0407"/>
        <s v="0408"/>
        <s v="0409"/>
        <s v="0410"/>
        <s v="0411"/>
        <s v="0412"/>
        <s v="0413"/>
        <s v="0414"/>
        <s v="0415"/>
        <s v="0416"/>
        <s v="0417"/>
        <s v="0419"/>
        <s v="0420"/>
        <s v="0422"/>
        <s v="0424"/>
        <s v="0425"/>
        <s v="0426"/>
        <s v="0427"/>
        <s v="0428"/>
        <s v="0429"/>
        <s v="0430"/>
        <s v="0431"/>
        <s v="0432"/>
        <s v="0433"/>
        <s v="0434"/>
        <s v="0435"/>
        <s v="0436"/>
        <s v="0438"/>
        <s v="0439"/>
        <s v="0440"/>
        <s v="0441"/>
        <s v="0442"/>
        <s v="0443"/>
        <s v="0444"/>
        <s v="0445"/>
        <s v="0446"/>
        <s v="0447"/>
        <s v="0448"/>
        <s v="0449"/>
        <s v="0450"/>
        <s v="0453"/>
        <s v="0454"/>
        <s v="0456"/>
        <s v="0457"/>
        <s v="0458"/>
        <s v="0459"/>
        <s v="0460"/>
        <s v="0461"/>
        <s v="0462"/>
        <s v="0463"/>
        <s v="0464"/>
        <s v="0465"/>
        <s v="0467"/>
        <s v="0468"/>
        <s v="0469"/>
        <s v="0470"/>
        <s v="0471"/>
        <s v="0472"/>
        <s v="0473"/>
        <s v="0474"/>
        <s v="0476"/>
        <s v="0477"/>
        <s v="0478"/>
        <s v="0480"/>
        <s v="0481"/>
        <s v="0482"/>
        <s v="0483"/>
        <s v="0484"/>
        <s v="0490"/>
        <s v="0492"/>
        <s v="0493"/>
        <s v="0495"/>
        <s v="0496"/>
        <s v="0498"/>
        <s v="0499"/>
        <s v="0501"/>
        <s v="0502"/>
        <s v="0506"/>
        <s v="0507"/>
        <s v="0508"/>
        <s v="0510"/>
        <s v="0511"/>
        <s v="0512"/>
        <s v="0513"/>
        <s v="0514"/>
        <s v="0516"/>
        <s v="0517"/>
        <s v="0518"/>
        <s v="0519"/>
        <s v="0520"/>
        <s v="0521"/>
        <s v="0522"/>
        <s v="0524"/>
        <s v="0525"/>
        <s v="0532"/>
        <s v="0533"/>
        <s v="0534"/>
        <s v="0535"/>
        <s v="0536"/>
        <s v="0537"/>
        <s v="0538"/>
        <s v="0539"/>
        <s v="0540"/>
        <s v="0541"/>
        <s v="0542"/>
        <s v="0543"/>
        <s v="0544"/>
        <s v="0545"/>
        <s v="0546"/>
        <s v="0547"/>
        <s v="0548"/>
        <s v="0549"/>
        <s v="0550"/>
        <s v="0630"/>
        <s v="0634"/>
        <s v="0635"/>
        <s v="0652"/>
        <s v="0653"/>
        <s v="0654"/>
        <s v="0655"/>
        <s v="0672"/>
        <s v="0677"/>
        <s v="0682"/>
        <s v="0685"/>
        <s v="0687"/>
        <s v="0688"/>
        <s v="0689"/>
        <s v="0700"/>
        <s v="0715"/>
        <s v="0717"/>
        <s v="0718"/>
        <s v="0721"/>
        <s v="0724"/>
        <s v="0726"/>
        <s v="0728"/>
        <s v="0729"/>
        <s v="0732"/>
        <s v="0733"/>
        <s v="0740"/>
        <s v="0742"/>
        <s v="0744"/>
        <s v="0747"/>
        <s v="0753"/>
        <s v="0754"/>
        <s v="0755"/>
        <s v="0756"/>
        <s v="0759"/>
        <s v="0797"/>
        <s v="0798"/>
        <s v="0799"/>
        <s v="0806"/>
        <s v="0815"/>
        <s v="0816"/>
        <s v="0817"/>
        <s v="0824"/>
        <s v="0828"/>
        <s v="0829"/>
        <s v="0831"/>
        <s v="0853"/>
        <s v="0861"/>
        <s v="0862"/>
        <s v="0880"/>
        <s v="0883"/>
        <s v="0884"/>
        <s v="0940"/>
        <s v="0943"/>
        <s v="0954"/>
        <s v="0955"/>
        <s v="0956"/>
        <s v="0957"/>
        <s v="0958"/>
        <s v="0959"/>
        <s v="0960"/>
        <s v="0961"/>
        <s v="0962"/>
        <s v="0963"/>
        <s v="0964"/>
        <s v="0965"/>
        <s v="0966"/>
        <s v="0967"/>
        <s v="0968"/>
        <s v="0969"/>
        <s v="0970"/>
        <s v="0971"/>
        <s v="0972"/>
        <s v="0973"/>
        <s v="0974"/>
        <s v="0975"/>
        <s v="0976"/>
        <s v="0977"/>
        <s v="0978"/>
        <s v="0979"/>
        <s v="0980"/>
        <s v="0983"/>
        <s v="0984"/>
        <s v="0985"/>
        <s v="0986"/>
        <s v="0987"/>
        <s v="0989"/>
        <s v="0990"/>
        <s v="0991"/>
        <s v="0992"/>
        <s v="0993"/>
        <s v="0994"/>
        <s v="0995"/>
        <s v="0996"/>
        <s v="0997"/>
        <s v="0BR1"/>
        <s v="0BR2"/>
        <s v="0CS1"/>
        <s v="1000"/>
        <s v="1001"/>
        <s v="1002"/>
        <s v="1003"/>
        <s v="1005"/>
        <s v="1008"/>
        <s v="1010"/>
        <s v="1011"/>
        <s v="1020"/>
        <s v="1026"/>
        <s v="1027"/>
        <s v="1029"/>
        <s v="1030"/>
        <s v="1034"/>
        <s v="1040"/>
        <s v="1041"/>
        <s v="1042"/>
        <s v="1043"/>
        <s v="1044"/>
        <s v="1045"/>
        <s v="1047"/>
        <s v="1049"/>
        <s v="1050"/>
        <s v="1051"/>
        <s v="1052"/>
        <s v="1054"/>
        <s v="1056"/>
        <s v="1057"/>
        <s v="1058"/>
        <s v="1059"/>
        <s v="1060"/>
        <s v="1063"/>
        <s v="1064"/>
        <s v="1065"/>
        <s v="1066"/>
        <s v="1067"/>
        <s v="1068"/>
        <s v="1075"/>
        <s v="1077"/>
        <s v="1078"/>
        <s v="1079"/>
        <s v="1083"/>
        <s v="1084"/>
        <s v="1085"/>
        <s v="1086"/>
        <s v="1087"/>
        <s v="1089"/>
        <s v="1091"/>
        <s v="1092"/>
        <s v="1094"/>
        <s v="1095"/>
        <s v="1096"/>
        <s v="1098"/>
        <s v="1100"/>
        <s v="1101"/>
        <s v="1102"/>
        <s v="1103"/>
        <s v="1104"/>
        <s v="1105"/>
        <s v="1106"/>
        <s v="1107"/>
        <s v="1108"/>
        <s v="1109"/>
        <s v="1110"/>
        <s v="1111"/>
        <s v="1112"/>
        <s v="1113"/>
        <s v="1114"/>
        <s v="1115"/>
        <s v="1116"/>
        <s v="1117"/>
        <s v="1118"/>
        <s v="1119"/>
        <s v="1120"/>
        <s v="1121"/>
        <s v="1122"/>
        <s v="1123"/>
        <s v="1124"/>
        <s v="1125"/>
        <s v="1126"/>
        <s v="1127"/>
        <s v="1128"/>
        <s v="1129"/>
        <s v="1134"/>
        <s v="1135"/>
        <s v="1136"/>
        <s v="1137"/>
        <s v="1138"/>
        <s v="1140"/>
        <s v="1141"/>
        <s v="1142"/>
        <s v="1143"/>
        <s v="1144"/>
        <s v="1146"/>
        <s v="1147"/>
        <s v="1149"/>
        <s v="1150"/>
        <s v="1151"/>
        <s v="1152"/>
        <s v="1153"/>
        <s v="1154"/>
        <s v="1156"/>
        <s v="1157"/>
        <s v="1158"/>
        <s v="1160"/>
        <s v="1161"/>
        <s v="1165"/>
        <s v="1166"/>
        <s v="1167"/>
        <s v="1168"/>
        <s v="1169"/>
        <s v="1171"/>
        <s v="1172"/>
        <s v="1173"/>
        <s v="1176"/>
        <s v="1177"/>
        <s v="1178"/>
        <s v="1179"/>
        <s v="1180"/>
        <s v="1183"/>
        <s v="1184"/>
        <s v="1185"/>
        <s v="1186"/>
        <s v="1187"/>
        <s v="1188"/>
        <s v="1190"/>
        <s v="1191"/>
        <s v="1192"/>
        <s v="1193"/>
        <s v="1194"/>
        <s v="1195"/>
        <s v="1196"/>
        <s v="1197"/>
        <s v="1198"/>
        <s v="1201"/>
        <s v="1202"/>
        <s v="1203"/>
        <s v="1204"/>
        <s v="1205"/>
        <s v="1206"/>
        <s v="1207"/>
        <s v="1208"/>
        <s v="1209"/>
        <s v="1210"/>
        <s v="1211"/>
        <s v="1212"/>
        <s v="1213"/>
        <s v="1214"/>
        <s v="1215"/>
        <s v="1216"/>
        <s v="1217"/>
        <s v="1218"/>
        <s v="1220"/>
        <s v="1221"/>
        <s v="1222"/>
        <s v="1223"/>
        <s v="1224"/>
        <s v="1225"/>
        <s v="1226"/>
        <s v="1227"/>
        <s v="1228"/>
        <s v="1229"/>
        <s v="1232"/>
        <s v="1234"/>
        <s v="1236"/>
        <s v="1238"/>
        <s v="1239"/>
        <s v="1242"/>
        <s v="1243"/>
        <s v="1244"/>
        <s v="1245"/>
        <s v="1246"/>
        <s v="1247"/>
        <s v="1248"/>
        <s v="1249"/>
        <s v="1259"/>
        <s v="1262"/>
        <s v="1264"/>
        <s v="1265"/>
        <s v="1268"/>
        <s v="1271"/>
        <s v="1274"/>
        <s v="1277"/>
        <s v="1278"/>
        <s v="1280"/>
        <s v="1281"/>
        <s v="1282"/>
        <s v="1283"/>
        <s v="1284"/>
        <s v="1287"/>
        <s v="1297"/>
        <s v="1299"/>
        <s v="1300"/>
        <s v="1304"/>
        <s v="1305"/>
        <s v="1307"/>
        <s v="1345"/>
        <s v="1346"/>
        <s v="1347"/>
        <s v="1348"/>
        <s v="1349"/>
        <s v="1350"/>
        <s v="1351"/>
        <s v="1352"/>
        <s v="1353"/>
        <s v="1354"/>
        <s v="1355"/>
        <s v="1356"/>
        <s v="1357"/>
        <s v="1358"/>
        <s v="1359"/>
        <s v="1360"/>
        <s v="1361"/>
        <s v="1363"/>
        <s v="1364"/>
        <s v="1365"/>
        <s v="1366"/>
        <s v="1367"/>
        <s v="1368"/>
        <s v="1370"/>
        <s v="1378"/>
        <s v="1385"/>
        <s v="1386"/>
        <s v="1387"/>
        <s v="1400"/>
        <s v="1401"/>
        <s v="1406"/>
        <s v="1407"/>
        <s v="1410"/>
        <s v="1411"/>
        <s v="1412"/>
        <s v="1413"/>
        <s v="1415"/>
        <s v="1427"/>
        <s v="1430"/>
        <s v="1490"/>
        <s v="1491"/>
        <s v="1492"/>
        <s v="1496"/>
        <s v="1497"/>
        <s v="1498"/>
        <s v="1499"/>
        <s v="1501"/>
        <s v="1502"/>
        <s v="1503"/>
        <s v="1504"/>
        <s v="1505"/>
        <s v="1506"/>
        <s v="1507"/>
        <s v="1508"/>
        <s v="1509"/>
        <s v="1510"/>
        <s v="1511"/>
        <s v="1512"/>
        <s v="1513"/>
        <s v="1514"/>
        <s v="1516"/>
        <s v="1517"/>
        <s v="1518"/>
        <s v="1519"/>
        <s v="1520"/>
        <s v="1530"/>
        <s v="1547"/>
        <s v="1548"/>
        <s v="1549"/>
        <s v="1550"/>
        <s v="1552"/>
        <s v="1553"/>
        <s v="1554"/>
        <s v="1555"/>
        <s v="1556"/>
        <s v="1557"/>
        <s v="1558"/>
        <s v="1559"/>
        <s v="1560"/>
        <s v="1561"/>
        <s v="1562"/>
        <s v="1565"/>
        <s v="1566"/>
        <s v="1567"/>
        <s v="1568"/>
        <s v="1569"/>
        <s v="1570"/>
        <s v="1571"/>
        <s v="1573"/>
        <s v="1574"/>
        <s v="1575"/>
        <s v="1576"/>
        <s v="1579"/>
        <s v="1597"/>
        <s v="1599"/>
        <s v="1600"/>
        <s v="1601"/>
        <s v="1602"/>
        <s v="1603"/>
        <s v="1604"/>
        <s v="1605"/>
        <s v="1606"/>
        <s v="1607"/>
        <s v="1608"/>
        <s v="1610"/>
        <s v="1620"/>
        <s v="1698"/>
        <s v="1700"/>
        <s v="1701"/>
        <s v="1702"/>
        <s v="1750"/>
        <s v="1751"/>
        <s v="1752"/>
        <s v="1753"/>
        <s v="1754"/>
        <s v="1755"/>
        <s v="1756"/>
        <s v="1757"/>
        <s v="1758"/>
        <s v="1759"/>
        <s v="1800"/>
        <s v="1810"/>
        <s v="1900"/>
        <s v="1904"/>
        <s v="1905"/>
        <s v="1906"/>
        <s v="2135"/>
        <s v="2901"/>
        <s v="2905"/>
        <s v="2906"/>
        <s v="2913"/>
        <s v="2914"/>
        <s v="2917"/>
        <s v="2918"/>
        <s v="2922"/>
        <s v="2929"/>
        <s v="2930"/>
        <s v="2931"/>
        <s v="2932"/>
        <s v="2933"/>
        <s v="2934"/>
        <s v="2935"/>
        <s v="2937"/>
        <s v="2938"/>
        <s v="2939"/>
        <s v="2999"/>
        <s v="3050"/>
        <s v="3051"/>
        <s v="3053"/>
        <s v="3054"/>
        <s v="3055"/>
        <s v="3056"/>
        <s v="3098"/>
        <s v="3099"/>
        <s v="3100"/>
        <s v="3170"/>
        <s v="3171"/>
        <s v="3172"/>
        <s v="3190"/>
        <s v="3197"/>
        <s v="3198"/>
        <s v="3199"/>
        <s v="3200"/>
        <s v="3201"/>
        <s v="3205"/>
        <s v="3400"/>
        <s v="4001"/>
        <s v="4002"/>
        <s v="4003"/>
        <s v="4004"/>
        <s v="4005"/>
        <s v="4006"/>
        <s v="4008"/>
        <s v="4010"/>
        <s v="4011"/>
        <s v="4012"/>
        <s v="4013"/>
        <s v="4014"/>
        <s v="4015"/>
        <s v="4016"/>
        <s v="4017"/>
        <s v="4020"/>
        <s v="4021"/>
        <s v="4022"/>
        <s v="4025"/>
        <s v="4050"/>
        <s v="4051"/>
        <s v="4052"/>
        <s v="4053"/>
        <s v="4054"/>
        <s v="4055"/>
        <s v="4430"/>
        <s v="4431"/>
        <s v="4542"/>
        <s v="4634"/>
        <s v="5200"/>
        <s v="5499"/>
        <s v="6030"/>
        <s v="6047"/>
        <s v="6060"/>
        <s v="6069"/>
        <s v="6071"/>
        <s v="6095"/>
        <s v="6242"/>
        <s v="6452"/>
        <s v="6502"/>
        <s v="6775"/>
        <s v="6881"/>
        <s v="6882"/>
        <s v="7002"/>
        <s v="7003"/>
        <s v="7004"/>
        <s v="7006"/>
        <s v="7007"/>
        <s v="7030"/>
        <s v="7046"/>
        <s v="7056"/>
        <s v="7057"/>
        <s v="7061"/>
        <s v="7063"/>
        <s v="7064"/>
        <s v="7065"/>
        <s v="7066"/>
        <s v="7072"/>
        <s v="7077"/>
        <s v="7078"/>
        <s v="7079"/>
        <s v="7080"/>
        <s v="7090"/>
        <s v="7091"/>
        <s v="7092"/>
        <s v="7093"/>
        <s v="7095"/>
        <s v="7098"/>
        <s v="7176"/>
        <s v="7177"/>
        <s v="7178"/>
        <s v="7180"/>
        <s v="7181"/>
        <s v="7182"/>
        <s v="7183"/>
        <s v="7184"/>
        <s v="7240"/>
        <s v="7439"/>
        <s v="7441"/>
        <s v="7500"/>
        <s v="7535"/>
        <s v="7751"/>
        <s v="7800"/>
        <s v="7801"/>
        <s v="7802"/>
        <s v="7900"/>
        <s v="7901"/>
        <s v="7903"/>
        <s v="7904"/>
        <s v="7905"/>
        <s v="7906"/>
        <s v="7907"/>
        <s v="7908"/>
        <s v="7909"/>
        <s v="7910"/>
        <s v="7911"/>
        <s v="7922"/>
        <s v="8000"/>
        <s v="8004"/>
        <s v="8007"/>
        <s v="8031"/>
        <s v="8032"/>
        <s v="8081"/>
        <s v="8083"/>
        <s v="8175"/>
        <s v="8236"/>
        <s v="8473"/>
        <s v="8476"/>
        <s v="8483"/>
        <s v="8487"/>
        <s v="8488"/>
        <s v="8508"/>
        <s v="8510"/>
        <s v="8511"/>
        <s v="8512"/>
        <s v="8513"/>
        <s v="8516"/>
        <s v="8517"/>
        <s v="8518"/>
        <s v="8519"/>
        <s v="8521"/>
        <s v="8522"/>
        <s v="8523"/>
        <s v="8524"/>
        <s v="8525"/>
        <s v="8529"/>
        <s v="8530"/>
        <s v="8531"/>
        <s v="8532"/>
        <s v="8541"/>
        <s v="8561"/>
        <s v="8578"/>
        <s v="8600"/>
        <s v="8601"/>
        <s v="8685"/>
        <s v="8687"/>
        <s v="8900"/>
        <s v="8901"/>
        <s v="8906"/>
        <s v="9101"/>
        <s v="9351"/>
        <s v="9788"/>
        <s v="9789"/>
        <s v="9792"/>
      </sharedItems>
    </cacheField>
    <cacheField name="BldgAbbr">
      <sharedItems containsMixedTypes="0"/>
    </cacheField>
    <cacheField name="BldgName">
      <sharedItems containsMixedTypes="0" count="754">
        <s v="MAINTENANCE MACHINE SHED"/>
        <s v="IMPLEMENT BARN"/>
        <s v="IMPLEMENT STORAGE SHED"/>
        <s v="BOXCAR - FEED STORAGE"/>
        <s v="AQUACULTURE RESEARCH TEACHING FACILITY"/>
        <s v="FIELD LAB AND OFFICE BLDG"/>
        <s v="PLANTATION FIELD LAB &amp; OFFICE"/>
        <s v="PLANTATION LAB EAST WING"/>
        <s v="PLANTATION LAB MAINT SHED"/>
        <s v="FARM SERVICE CHEMICAL STORAGE"/>
        <s v="PLANTATION LAB WEST WING SHED"/>
        <s v="PLANTATION LAB NORTHWEST SHED"/>
        <s v="AQUATIC RESEARCH CENTER"/>
        <s v="MARINE RESEARCH LAB"/>
        <s v="FIELD LAB EQUIPMENT SHED"/>
        <s v="FIELD LAB IMPLEMENT SHED"/>
        <s v="PUMP HOUSE"/>
        <s v="HATCHERY"/>
        <s v="SAMPLE PROCESSING LABORATORY"/>
        <s v="STORAGE SHED"/>
        <s v="PHYSICAL PLANT UTILITIES"/>
        <s v="HATCHERY BLDG"/>
        <s v="BEEF CONFINEMENT RESEARCH UNIT"/>
        <s v="FARM SERVICE IMPLEMENT BARN"/>
        <s v="RAINWATER RESTROOM"/>
        <s v="TRAILER HOUSE @ TERECO"/>
        <s v="FARM SUPERINTENDENT HOUSE"/>
        <s v="OFFICE METAL BUILDING"/>
        <s v="TVMC-WILDLIFE &amp; EXOTIC ANIMALS"/>
        <s v="ESTI PRIVATE SECTOR OFFICE"/>
        <s v="ESTI TECHNICAL EQUIPMENT STORAGE"/>
        <s v="ESTI HAZ MAT CLASSROOM"/>
        <s v="ESTI HAZ MAT OFFICE"/>
        <s v="TVMC-DEER SHELTER"/>
        <s v="TX FOREST SERVICE GREENHOUSE"/>
        <s v="TX FOREST SERVICE GH HEADHOUSE"/>
        <s v="WELLS RESIDENCE HALL"/>
        <s v="RUDDER RESIDENCE HALL"/>
        <s v="EPPRIGHT RESIDENCE HALL"/>
        <s v="APPELT RESIDENCE HALL"/>
        <s v="LECHNER RESIDENCE HALL"/>
        <s v="MITCHELL INST. FOR FUNDAMENTAL PHYS. AND ASTRONOMY"/>
        <s v="MITCHELL PHYSICS BUILDING"/>
        <s v="ESTI ELECTRICAL BUILDING"/>
        <s v="ESTI CONTROL BUILDING"/>
        <s v="ESTI PUMP OPERATIONS BUILDING"/>
        <s v="ESTI DRILL TOWER"/>
        <s v="ESTI BREATHING APPARATUS MAZE"/>
        <s v="ESTI BREATHING APPARATUS STORAGE"/>
        <s v="ESTI PUMP MAINTENANCE BUILDING"/>
        <s v="ESTI SPRINKLER SYSTEMS"/>
        <s v="ESTI HAY BARN"/>
        <s v="ESTI WOOD STORAGE"/>
        <s v="ESTI FIELD MAINTENANCE OFFICE"/>
        <s v="ESTI RECRUIT CLASSROOM / FIRE STATION"/>
        <s v="ESTI MUNICIPAL CLASSROOM"/>
        <s v="ESTI PUMP / VEHICLE MAINTENANCE"/>
        <s v="ALBRITTON BELL TOWER"/>
        <s v="BRIGHT BUILDING"/>
        <s v="ESTI HAZARDOUS MATRL CLASSROOM"/>
        <s v="THE ZEN BOX"/>
        <s v="VENDING MACHINE BOOTH"/>
        <s v="ARCHITECTURE BUILDING B"/>
        <s v="STEED RESEARCH &amp; CONDITIONING LAB"/>
        <s v="BRIGHT FOOTBALL COMPLEX"/>
        <s v="TENNIS COURT RESTROOMS"/>
        <s v="SMITH TENNIS CENTER"/>
        <s v="KYLE FIELD"/>
        <s v="READ BUILDING"/>
        <s v="HENSEL PARK PICNIC SHELTER"/>
        <s v="HENSEL PARK PICNIC SHELTER #1"/>
        <s v="HENSEL PARK PICNIC SHELTER #2"/>
        <s v="HENSEL PARK RESTROOMS"/>
        <s v="CHEMISTRY BUILDING ADDITION"/>
        <s v="SATELLITE UTILITY PLANT NO. 3"/>
        <s v="SOUTH SIDE PARKING GARAGE"/>
        <s v="UNIVERSITY CENTER PARKING GARAGE"/>
        <s v="FLORICULTURE BUILDING A"/>
        <s v="FLORICULTURE BUILDING B"/>
        <s v="FLORICULTURE BUILDING C"/>
        <s v="KOLDUS BUILDING"/>
        <s v="SANDERS CORPS OF CADETS CENTER"/>
        <s v="CE/TTI OFFICE &amp; LAB BUILDING"/>
        <s v="JACK E. BROWN CHEMICAL ENGINEERING BUILDING"/>
        <s v="RICHARDSON PETROLEUM ENGINEERING BUILDING"/>
        <s v="NORTHSIDE PARKING GARAGE"/>
        <s v="GROUNDS MAINTENANCE POTTING SHED"/>
        <s v="JAMES J. CAIN '51 BUILDING"/>
        <s v="ENGINEERING/PHYSICS OFFICE TOWER"/>
        <s v="LINDSEY BUILDING"/>
        <s v="UNDERWOOD RESIDENCE HALL"/>
        <s v="LANGFORD ARCHITECTURE CENTER BUILDING A"/>
        <s v="BUS STOP SHELTER-BIZZELL&amp;LUBBOCK"/>
        <s v="SPENCE HALL - DORM 1"/>
        <s v="KIEST HALL - DORM 2"/>
        <s v="BRIGGS HALL - DORM 3"/>
        <s v="FOUNTAIN HALL - DORM 4"/>
        <s v="GAINER HALL - DORM 5"/>
        <s v="LACY HALL - DORM 6"/>
        <s v="LEONARD HALL - DORM 7"/>
        <s v="HARRELL HALL - DORM 8"/>
        <s v="WHITELY HALL - DORM 9"/>
        <s v="WHITE HALL - DORM 10"/>
        <s v="HARRINGTON HALL - DORM 11"/>
        <s v="UTAY HALL - DORM 12"/>
        <s v="MOSES RESIDENCE HALL"/>
        <s v="MOORE RESIDENCE HALL"/>
        <s v="CROCKER RESIDENCE HALL"/>
        <s v="DAVIS-GARY RESIDENCE HALL"/>
        <s v="BIZZELL HALL"/>
        <s v="HART RESIDENCE HALL"/>
        <s v="LEGETT RESIDENCE HALL"/>
        <s v="MILNER HALL"/>
        <s v="WALTON RESIDENCE HALL"/>
        <s v="HOTARD HALL"/>
        <s v="HENDERSON HALL"/>
        <s v="HUGHES RESIDENCE HALL"/>
        <s v="FOWLER RESIDENCE HALL"/>
        <s v="KEATHLEY RESIDENCE HALL"/>
        <s v="MCINNIS RESIDENCE HALL"/>
        <s v="SCHUHMACHER RESIDENCE HALL"/>
        <s v="MAINTENANCE SHOP AT CENTRAL UTILITY PLANT"/>
        <s v="ARCHITECTURE BUILDING C"/>
        <s v="MOSHER RESIDENCE HALL"/>
        <s v="LUEDECKE BUILDING (CYCLOTRON)"/>
        <s v="HARRINGTON EDUCATION CENTER OFFICE TOWER"/>
        <s v="REED-MCDONALD BUILDING"/>
        <s v="HARRINGTON EDUCATION CENTER CLASSROOM BUILDING"/>
        <s v="CAIN HALL"/>
        <s v="COMMONS"/>
        <s v="KRUEGER RESIDENCE HALL"/>
        <s v="DUNN RESIDENCE HALL"/>
        <s v="OCEANOGRAPHY &amp; METEOROLOGY BUILDING"/>
        <s v="PETERSON BUILDING"/>
        <s v="TEAGUE RESEARCH CENTER"/>
        <s v="RUDDER TOWER"/>
        <s v="ASTON RESIDENCE HALL"/>
        <s v="ADAMS BAND HALL"/>
        <s v="BIOLOGICAL SCIENCES BLDG. WEST"/>
        <s v="DUNCAN DINING HALL"/>
        <s v="G. ROLLIE WHITE COLISEUM"/>
        <s v="MEMORIAL STUDENT CENTER"/>
        <s v="MILITARY SCIENCES BUILDING"/>
        <s v="TAES ANNEX BUILDING"/>
        <s v="FLORICULTURE GREENHOUSE"/>
        <s v="HORTICULTURE GREENHOUSE"/>
        <s v="FOREST GENETICS - GREENHOUSE"/>
        <s v="COKE BUILDING"/>
        <s v="ACADEMIC BUILDING"/>
        <s v="PSYCHOLOGY BUILDING"/>
        <s v="STATE CHEMIST BUILDING"/>
        <s v="BUTLER HALL"/>
        <s v="BIOLOGICAL SCIENCES BLDG. EAST"/>
        <s v="EVANS LIBRARY"/>
        <s v="CENTRAL CAMPUS PARKING GARAGE"/>
        <s v="MELBERN G. GLASSCOCK BUILDING"/>
        <s v="PAVILION"/>
        <s v="ANIMAL INDUSTRIES BUILDING"/>
        <s v="JACK K. WILLIAMS ADMINISTRATION BUILDING"/>
        <s v="YMCA BUILDING"/>
        <s v="FRANCIS HALL"/>
        <s v="ANTHROPOLOGY BUILDING"/>
        <s v="SCOATES HALL"/>
        <s v="BOLTON HALL"/>
        <s v="HEATON HALL"/>
        <s v="FERMIER HALL"/>
        <s v="THOMPSON HALL"/>
        <s v="CHEMISTRY BUILDING"/>
        <s v="HALBOUTY GEOSCIENCES BUILDING"/>
        <s v="CIVIL ENGINEERING BUILDING"/>
        <s v="BELL BUILDING"/>
        <s v="SBISA DINING HALL"/>
        <s v="LAUNDRY"/>
        <s v="CENTRAL UTILITY PLANT"/>
        <s v="GRAPHIC SERVICES"/>
        <s v="CONCRETE MATERIALS LABORATORY"/>
        <s v="HYDROMECHANICS LABORATORY"/>
        <s v="NAGLE HALL"/>
        <s v="VETERINARY MEDICAL SCIENCES BUILDING"/>
        <s v="VETERINARY TEACHING HOSPITAL"/>
        <s v="ADRIANCE LAB"/>
        <s v="HEEP LABORATORY BUILDING"/>
        <s v="ALL FAITHS CHAPEL"/>
        <s v="DOHERTY BUILDING"/>
        <s v="Munnerlyn Astronomy &amp; Space Sciences Engineering"/>
        <s v="COMPUTING SERVICES CENTER"/>
        <s v="DPC ANNEX"/>
        <s v="ZACHRY ENGINEERING CENTER"/>
        <s v="MOORE COMMUNICATIONS CENTER"/>
        <s v="BEUTEL HEALTH CENTER"/>
        <s v="HELDENFELS HALL"/>
        <s v="TVMC-LAB ANIMAL SHELTER"/>
        <s v="BLOCKER BUILDING"/>
        <s v="VOLATILE STORAGE BUILDING"/>
        <s v="HENSEL APTS BLDG V-1"/>
        <s v="HENSEL APTS BLDG V-2"/>
        <s v="HENSEL APTS BLDG V-3"/>
        <s v="HENSEL APTS BLDG W-1"/>
        <s v="HENSEL APTS BLDG W-2"/>
        <s v="HENSEL APTS BLDG W-3"/>
        <s v="HENSEL APTS BLDG X-1"/>
        <s v="HENSEL APTS BLDG X-2"/>
        <s v="HENSEL APTS BLDG X-3"/>
        <s v="HENSEL APTS BLDG X-4"/>
        <s v="HENSEL APTS BLDG Y-1"/>
        <s v="HENSEL APTS BLDG Y-2"/>
        <s v="HENSEL APTS BLDG Y-3"/>
        <s v="HENSEL APTS BLDG Y-4"/>
        <s v="HENSEL APTS BLDG Z-1"/>
        <s v="BREAK ROOM AT CENTRAL UTILITY PLANT"/>
        <s v="CLEMENTS RESIDENCE HALL"/>
        <s v="HAAS RESIDENCE HALL"/>
        <s v="MCFADDEN RESIDENCE HALL"/>
        <s v="VICE PRESIDENT'S RESIDENCE"/>
        <s v="PRESIDENT'S RESIDENCE"/>
        <s v="GROUNDS MAINTENANCE STORAGE"/>
        <s v="NEELEY RESIDENCE HALL"/>
        <s v="HOBBY RESIDENCE HALL"/>
        <s v="GENERATOR SHED"/>
        <s v="GOLF COURSE MAINTENANCE SHOP"/>
        <s v="GOLF COURSE CLUBHOUSE"/>
        <s v="GOLF COURSE HALFWAY HOUSE"/>
        <s v="WISENBAKER ENGINEERING RESEARCH CENTER"/>
        <s v="GROUNDS MAINTENANCE - TRACTOR SHED"/>
        <s v="ESTI INDUSTRIAL CLASSROOM"/>
        <s v="ESTI INDUSTRIAL TECHNICIAN OFFICE/SHOP"/>
        <s v="ESTI WAREHOUSE BUILDING"/>
        <s v="ESTI 3-STORY PROJECT"/>
        <s v="CHEMISTRY CHEMICAL STORAGE"/>
        <s v="STORAGE AND LAB--CYCLOTRON"/>
        <s v="STORAGE--CYCLOTRON"/>
        <s v="ESTI WAREHOUSE FIRES"/>
        <s v="ESTI BREATHING APPARATUS COMPRESSOR BUILDING"/>
        <s v="GROUNDS MAINTENANCE GREENHOUSE 4"/>
        <s v="GROUNDS MAINTENANCE GREENHOUSE 5"/>
        <s v="BIOLOGY GREENHOUSE"/>
        <s v="GROUNDS MAINTENANCE GREENHOUSE"/>
        <s v="MCNEW LABORATORY"/>
        <s v="WIND TUNNEL COMPRESSOR BLDG"/>
        <s v="GROUNDS MAINTENANCE SUPPLY BLDG"/>
        <s v="HORTICULTURE SCIENCE FIELD RESIDENCE &amp; STORAGE"/>
        <s v="EASTERWOOD SHOPS"/>
        <s v="EASTERWOOD GENERAL AVIATION TERMINAL"/>
        <s v="EASTERWOOD AIRPORT HANGAR"/>
        <s v="NICKS LOW SPEED WIND TUNNEL"/>
        <s v="HORTICULTURE IMPLEMENT SHED - A"/>
        <s v="HORTICULTURE IMPLEMENT SHED - B"/>
        <s v="HORTICULTURE SHOP"/>
        <s v="BREEDING CENTER"/>
        <s v="ENTOMOLOGY RESEARCH LAB"/>
        <s v="WATER DISTRIBUTION PUMP STATION NO. 1"/>
        <s v="WELL FIELD PUMP STATION"/>
        <s v="GROUNDS MAINTENANCE IMPLEMENT SHED"/>
        <s v="GROUNDS SHOP WAREHOUSE"/>
        <s v="GROUNDS MAINTENANCE OFFICE SHOP/STOR"/>
        <s v="HORSE CENTER"/>
        <s v="CUSE-CHEMISTRY"/>
        <s v="BUTLER BUILDING"/>
        <s v="TVMC-SMALL ANIMAL BUILDING"/>
        <s v="LARGE ANIMAL HOLDING"/>
        <s v="ENTOMOLOGY APIARY BLDG"/>
        <s v="PHOTOSENSITIVIZATION LAB"/>
        <s v="TVMC-BARN NO 2"/>
        <s v="AGRONOMY FIELD LAB"/>
        <s v="SOIL/CROP COTTON GENETIC GREENHOUSE"/>
        <s v="PLANT PAT PHY FIELD LAB"/>
        <s v="PURCHASING &amp; STORES"/>
        <s v="FLEET SERVICES"/>
        <s v="PLANT SCIENCE GREENHOUSE"/>
        <s v="SCS FORAGE GREENHOUSE"/>
        <s v="COTTON GREENHOUSE"/>
        <s v="PLANT SCIENCE GRAIN SORGHUM GREENHOUSE"/>
        <s v="HORT &amp; PLANT SCI GREENHOUSE"/>
        <s v="AGRONOMY GREENHOUSE"/>
        <s v="BEASLEY LABORATORY"/>
        <s v="PURCHASING &amp; STORES - GENERAL STORAGE"/>
        <s v="PURCHASING &amp; STORES - VOLATILE STORAGE"/>
        <s v="HORTICULTURE VEG BREEDING GREENHOUSE"/>
        <s v="TRANSIT SERVICES"/>
        <s v="PHY PLANT-GROUNDS MAINTENANCE"/>
        <s v="FOOD SERVICES COMMISSARY"/>
        <s v="LABORATORY ANIMAL CARE BUILDING"/>
        <s v="CMP-ANIMAL HOUSING UNIT"/>
        <s v="CMP-QUARANTINE UNIT"/>
        <s v="TURFGRASS FIELD LAB"/>
        <s v="MURRAY CASE SELLS STORAGE BLDG"/>
        <s v="TRANS CENTER PAINT STORAGE"/>
        <s v="HORTICULTURE VEGETABLE GREENHOUSE"/>
        <s v="TVMC-POLE BUILDING"/>
        <s v="TVMC-CAGED ANIMALS"/>
        <s v="POULTRY HEALTH RESEARCH LAB"/>
        <s v="VMP SHOP"/>
        <s v="TVMC-EXPERIMENTAL ANIMAL BLDG"/>
        <s v="TVMC-BARN"/>
        <s v="TVMC-REPRODUCTION BARN"/>
        <s v="WATER DISTRIBUTION PUMP STATION NO. 2"/>
        <s v="OIL TANKS BOILER HOUSE"/>
        <s v="TICK RESEARCH FACILITY"/>
        <s v="BRYAN CIS SPACE"/>
        <s v="FIBER TOWN"/>
        <s v="CITY OF COLLEGE STATION ADMIN BLDG"/>
        <s v="FARM SERVICE OFFICE"/>
        <s v="FARM SERVICE IMPLEMENT #1"/>
        <s v="FARM SERVICE IMPLEMENT #2"/>
        <s v="FARM SERVICE SHOP"/>
        <s v="FARM SERVICE STORAGE 2"/>
        <s v="TVMC-BARN NO. 3"/>
        <s v="TVMC-SMALL ANIMAL RESEARCH BLDG"/>
        <s v="HORTICULTURE SHOP AND GARAGE"/>
        <s v="VIVARIUM III"/>
        <s v="VETERINARY MEDICINE ADMINISTRATION"/>
        <s v="NURSERY FLORAL FIELD LABORATORY"/>
        <s v="AGRONOMY IMPLEMENT STORAGE"/>
        <s v="AG ENGR RES LAB &amp; SHOP"/>
        <s v="AG ENGINEERING POWER &amp; MACHINERY BUILDING"/>
        <s v="CARDIOVASCULAR PATHOLOGY LABORATORY"/>
        <s v="TEXAS VET MED DIAGNOSTIC LAB"/>
        <s v="FOREST SCIENCE LABORATORY BUILDING"/>
        <s v="MOSQUITO RESEARCH LAB"/>
        <s v="TVMC-POULTRY RESEARCH"/>
        <s v="USDA GREENHOUSE 1"/>
        <s v="VIRUS-VECTOR RESEARCH LAB"/>
        <s v="USDA GREENHOUSE 2"/>
        <s v="CUSE-RESEARCH LABS"/>
        <s v="CENTER FOR URBAN AND STRUCTURAL ENTOMOLOGY (CUSE)"/>
        <s v="WEED SCIENCE FIELD LAB"/>
        <s v="FORAGE AND TURF GREENHOUSE"/>
        <s v="SOIL &amp; CROP SCI GREENHOUSE"/>
        <s v="GREENHOUSE-SMALL GRAINS"/>
        <s v="GREENHOUSE-COTTON TAXONOMY"/>
        <s v="GREENHOUSE"/>
        <s v="SOIL &amp; CROP SCI DRY PROCESSING"/>
        <s v="COTTON GINNING LAB"/>
        <s v="AGRONOMY FIELD CROP LABORATORY"/>
        <s v="TVMC-VEHICLE STORAGE"/>
        <s v="ECOLOGY &amp; NATURAL RESOURCES TEACHING PAVILION"/>
        <s v="SCSC SMALL GRAIN GREENHOUSE"/>
        <s v="SOIL &amp; CROP PEANUT GREENHOUSE"/>
        <s v="SCSC-WEED SCI GREENHOUSE"/>
        <s v="RESEARCH PARK MAINTENANCE BLDG"/>
        <s v="WEST CAMPUS SWITCHING STATION"/>
        <s v="VETERINARY SMALL ANIMAL HOSPITAL"/>
        <s v="CMP-HOUSING UNIT"/>
        <s v="UTILITIES ENERGY OFFICE ANNEX"/>
        <s v="EASTERWOOD HANGAR 1091"/>
        <s v="EASTERWOOD HANGAR 1092"/>
        <s v="TVMC-POULTRY DISEASE RESEARCH"/>
        <s v="NUCLEAR SCIENCE CNTR"/>
        <s v="GAMMA RADIATION LAB"/>
        <s v="N.S.C. HYPERBARIC LAB"/>
        <s v="COLLEGE VIEW APTS"/>
        <s v="COLLEGE AVENUE APARTMENTS"/>
        <s v="AVENUE A APT#1"/>
        <s v="AVENUE A APT#2"/>
        <s v="AVENUE A APT#3"/>
        <s v="AVENUE A APT#4"/>
        <s v="AVENUE A APT#11"/>
        <s v="AVENUE A APT#10"/>
        <s v="AVENUE A APT#5"/>
        <s v="AVENUE A APT#6"/>
        <s v="AVENUE A APT#7"/>
        <s v="AVENUE A APT#9"/>
        <s v="AVENUE A APT#8"/>
        <s v="ESTI EXTINGUISHER REFILL BUILDING"/>
        <s v="ESTI RESCUE CLASSROOM"/>
        <s v="ESTI MARINE CLASSROOM/FIRST AID"/>
        <s v="ESTI FIXED SYSTEM CLASSROOM"/>
        <s v="BIOLOGICAL CONTROL FACILITY"/>
        <s v="REPRODUCTIVE SCIENCES LAB"/>
        <s v="BILLY BRYANT BARN"/>
        <s v="PARSONS MOUNTED CAV. TACK ROOM"/>
        <s v="EQUINE CENTER STABLE"/>
        <s v="EQUINE CENTER RESTROOM"/>
        <s v="FREEMAN ARENA"/>
        <s v="ELECTRICAL DISTRIBUTION STORAGE"/>
        <s v="PHYSICAL PLANT ADMINISTRATION &amp; SHOPS"/>
        <s v="WAREHOUSE"/>
        <s v="EQUINE GAIT ANALYSIS BLDG"/>
        <s v="PEARCE ANIMAL PAVILION"/>
        <s v="REED HOUSE"/>
        <s v="HAZARDOUS WASTE STORAGE BLDG"/>
        <s v="CUSE-SPECIAL PROJECT LAB &amp; STORAGE"/>
        <s v="CUSE-INSECT TESTING LAB"/>
        <s v="CUSE-SHOP &amp; STORAGE"/>
        <s v="CUSE-TOXICOLOGY HUT"/>
        <s v="RADIOACTIVE WASTE BUILDING"/>
        <s v="FLAMMABLE MAT STORAGE"/>
        <s v="SOIL &amp; CROP GREENHOUSE"/>
        <s v="HORT/FS GREENHOUSE"/>
        <s v="FOREST SCIENCE GREENHOUSE"/>
        <s v="FLORICULTURE FARM STORAGE BLDG."/>
        <s v="RANGE SCIENCE FIELD LAB"/>
        <s v="Veterinary Anatomic Pathology"/>
        <s v="PARSONS CAV CARETAKER FACILITY"/>
        <s v="TVMC-ISOLATION LABORATORY"/>
        <s v="W.P. LUSE FOUNDATION BUILDING"/>
        <s v="FOREST SCIENCE STORAGE"/>
        <s v="FLORICULTURE RESEARCH GREENHSE"/>
        <s v="FLORICULTURE GROWING FACILITY"/>
        <s v="TVMC-SURGERY BUILDING"/>
        <s v="WILDLIFE &amp; EXOTIC ANIMAL CTR"/>
        <s v="VETERINARY LARGE ANIMAL HOSPITAL"/>
        <s v="NON SURGICAL ANIMAL PROCEDURE"/>
        <s v="ANIMAL HOUSING UNIT"/>
        <s v="VETERINARY RESEARCH BUILDING"/>
        <s v="LARR SUPPORT PERSONNEL BLDG"/>
        <s v="POULTRY SCIENCE HEADQUARTERS"/>
        <s v="POULTRY SCI HANDLING &amp; JUDGING"/>
        <s v="POULTRY SCI NUTRITION &amp; PHYS"/>
        <s v="POULTRY SCI ENVIRONMENTAL RES"/>
        <s v="POULTRY SCIENCE FEED MIXING"/>
        <s v="POULTRY SCI EQUIPMENT STORAGE"/>
        <s v="POULTRY SCI REPRO &amp; EMBRYOLOGY"/>
        <s v="POULTRY SCI COMPARATIVE REARING"/>
        <s v="POULTRY SCI INTEGRATED REPRO"/>
        <s v="PS INTENSIVE MGT &amp; REARING"/>
        <s v="POULTRY SCIENCE BROILER #1"/>
        <s v="POULTRY SCIENCE BROILER #2"/>
        <s v="POULTRY SCIENCE CAGED LAYER #1"/>
        <s v="POULTRY SCIENCE CAGED LAYER #2"/>
        <s v="PS ENVIRONMENTAL BIOTECHNOLOGY"/>
        <s v="PS GAMEBIRD REPRO &amp; MANAGEMENT"/>
        <s v="PS GAMEBIRD REARING &amp; FLT PEN"/>
        <s v="REFUSE COLLECTION MAINTENANCE"/>
        <s v="TVMC-ANIMAL ISOLATION BLD #1"/>
        <s v="TVMC-ANIMAL ISOLATION BLD #2"/>
        <s v="TVMC-ANIMAL ISOLATION BLD #3"/>
        <s v="TVMC-ANIMAL ISOLATION BLD #4"/>
        <s v="TVMC-ANIMAL ISOLATION BLD #5"/>
        <s v="TVMC-ANIMAL ISOLATION BLD #6"/>
        <s v="TVMC-ANIMAL ISOLATION BLD #7"/>
        <s v="TVMC-ANIMAL ISOLATION BLD #8"/>
        <s v="TVMC-ANIMAL ISOLATION BLD #9"/>
        <s v="SCHUBOT AVIARY BR FACILITY"/>
        <s v="Theriogenology Facility, Equine Reproduction"/>
        <s v="DRY FEED STORAGE FACILITY"/>
        <s v="SMALL HORSE BARN"/>
        <s v="ROBOTIC OBSERVATORY"/>
        <s v="PHYSICS TEACHING OBSERVATORY"/>
        <s v="Utilities Water Operations Building F&amp;B Storage"/>
        <s v="Plumbing Fabrication Shop"/>
        <s v="Utilities Inventory Warehouse Building 1"/>
        <s v="CABLE WIRE STORAGE"/>
        <s v="Generator Storage Building"/>
        <s v="HAZARDOUS WASTE OFFICE &amp; SUPPORT BLDG"/>
        <s v="Transportation Car/Bus Wash building"/>
        <s v="TELECOMMUNICATIONS OPTICAL REMOTE BUILDING"/>
        <s v="Airport-Aircraft Hanger J"/>
        <s v="MCKENZIE TERMINAL BUILDING"/>
        <s v="TAC REALTY HANGER"/>
        <s v="PARKING TOLL BOOTH-EASTERWOOD"/>
        <s v="WIND TUNNEL STORAGE BUILDING"/>
        <s v="STORAGE/WIND TUNNEL SUPPORT BUILDING"/>
        <s v="AEROSPACE ENG WIND TUNNEL (UNSTEADY WIND TUNNEL)"/>
        <s v="EASTERWOOD RESCUE AND FIRE FACILITY"/>
        <s v="GROUND SUPPORT EQUIPMENT SHED (EASTERWOOD AIRPORT)"/>
        <s v="ESTI BATHROOM (PARKER'S PRIVY)"/>
        <s v="ESTI BATHROOM (PAT'S POTTY)"/>
        <s v="ESTI BATHROOM (RYAN'S ROOST)"/>
        <s v="ESTI INDUSTRIAL BUNKER GEAR DRYING BUILDING"/>
        <s v="ESTI BREATHING APPARATUS REPAIR BUILDING"/>
        <s v="ESTI EMS SHOP/STORAGE BUILDING"/>
        <s v="LAND, AIR, SPACE ROBOTICS"/>
        <s v="TURBOMACHINERY LABORATORY"/>
        <s v="Turbomachinery Office Building"/>
        <s v="CORPS LEADERSHIP DEVELOPMENT COURSE STORAGE BLDG"/>
        <s v="TVMC-EQUINE BREEDING LABORATORY"/>
        <s v="NUCLEAR SCIENCE CENTER LABORATORY"/>
        <s v="ESTI H. D. Smith Operations Complex"/>
        <s v="ESTI STRUCTURAL BURN TRNG COMPLEX"/>
        <s v="USAR DISASTER CITY RESTROOM"/>
        <s v="USAR DISASTER CITY CLASSROOM"/>
        <s v="USAR DISASTER CITY OFFICE"/>
        <s v="ESTI BATHROOM (HAZARDOUS MATERIALS AREA)"/>
        <s v="ESTI BATHROOM (MARINE AREA)"/>
        <s v="ESTI BATHROOM (INDUSTRIAL AREA)"/>
        <s v="ESTI INDUSTRIAL CLASSROOMS A&amp;B"/>
        <s v="ESTI INDUSTRIAL OFFICE"/>
        <s v="ESTI BUSINESS OFFICE"/>
        <s v="ESTI HAZARDOUS MATERIALS CLASSROOM A&amp;B"/>
        <s v="ESTI MARINE/MARKETING/F2HS OFFICE"/>
        <s v="ESTI RESCUE OFFICE/CLASSROOM"/>
        <s v="ESTI FIELD MAINTENANCE SHOP"/>
        <s v="ESTI DOD OFFICE/EMS CLASSROOM"/>
        <s v="ESTI EMS CLASSROOM"/>
        <s v="ESTI INDUSTRIAL CLASSROOM A&amp;B"/>
        <s v="ESTI EMS OFFICE"/>
        <s v="ESTI ANNUAL SCHOOL/VENDOR STORE"/>
        <s v="NERRTC EMERGENCY OPERATIONS TRNG CENTER"/>
        <s v="USAR WAREHOUSE"/>
        <s v="ESTI WMD RESTROOM"/>
        <s v="ESTI CURRICULUM OFFICE"/>
        <s v="ESTI LEADERSHIP/CERTIFICATION/EVALUATION OFFICE"/>
        <s v="CORPS LOUNGE - A"/>
        <s v="CORPS LOUNGE - B"/>
        <s v="CORPS LOUNGE - C"/>
        <s v="CORPS LOUNGE - D"/>
        <s v="CORPS LOUNGE - E"/>
        <s v="CORPS LOUNGE - F"/>
        <s v="CIVILIAN LOUNGE - A2"/>
        <s v="CIVILIAN LOUNGE - B1"/>
        <s v="CIVILIAN LOUNGE - A3"/>
        <s v="CIVILIAN LOUNGE - A1"/>
        <s v="CIVILIAN LOUNGE - C1"/>
        <s v="CABIN AT CHALLENGE COURSE"/>
        <s v="SHED AT CHALLENGE COURSE"/>
        <s v="CLASSROOM AT CHALLENGE COURSE"/>
        <s v="12.47 KV SWITCHING STATION"/>
        <s v="UTILITIES BUSINESS OFFICE"/>
        <s v="SATELLITE UTILITY PLANT NO. 1"/>
        <s v="SATELLITE UTILITY PLANT NO. 2"/>
        <s v="KLEBERG CENTER"/>
        <s v="HEEP CENTER"/>
        <s v="CATER-MATTIL HALL"/>
        <s v="REYNOLDS MEDICAL SCIENCES BUILDING"/>
        <s v="ROSENTHAL MEAT SCIENCE &amp; TECHNOLOGY CENTER"/>
        <s v="HORTICULTURE/FOREST SCIENCE BUILDING"/>
        <s v="BIOCHEMISTRY/BIOPHYSICS BUILDNG"/>
        <s v="PRICE HOBGOOD AG. ENGINEERING RESEARCH LAB."/>
        <s v="MEDICAL SCIENCES LIBRARY"/>
        <s v="WEHNER BUILDING"/>
        <s v="WEST CAMPUS LIBRARY FACILITY"/>
        <s v="Southern Crop Improvement Greenhouse"/>
        <s v="BORLAUG CENTER FOR SOUTHERN CROP IMPROVEMENT"/>
        <s v="PARKING TOLL BOOTH AT PA72"/>
        <s v="HORTICULTURE FIELD LABORATORY"/>
        <s v="HORTICULTURE CABIN"/>
        <s v="School of Rural Public Health - A"/>
        <s v="School of Rural Public Health - B"/>
        <s v="School of Rural Public Health - C"/>
        <s v="INTERDISCIPLINARY LIFE SCIENCES BUILDING"/>
        <s v="McFERRIN ATHLETIC CENTER-INDOOR FOOTBALL"/>
        <s v="McFERRIN ATHLETIC CENTER-INDOOR TRACK"/>
        <s v="OLSEN FIELD BATTING CAGE FACILITY"/>
        <s v="OLSEN BASEBALL FIELD"/>
        <s v="OLSEN (E.D.) GROVE PICNIC AREA"/>
        <s v="OLSEN FIELD TICKET BOOTH"/>
        <s v="REED ARENA"/>
        <s v="TRACK &amp; FIELD SUPPORT CENTER"/>
        <s v="PENBERTHY INTRAMURAL SPORTS CENTER"/>
        <s v="TRACK &amp; FIELD CTR TICKET BOOTH"/>
        <s v="COX-McFERRIN CENTER FOR AGGIE BASKETBALL"/>
        <s v="WEST CAMPUS PARKING GARAGE"/>
        <s v="STUDENT RECREATION CENTER"/>
        <s v="GEORGE P. MITCHELL '40 OUTDOOR TENNIS CENTER"/>
        <s v="WIRELESS TELECOMMUNICATIONS FACILITY"/>
        <s v="TRAINING/TRACK BUILDING"/>
        <s v="SOCCER BUILDING"/>
        <s v="SOFTBALL BUILDING"/>
        <s v="VARSITY SOCCER PRESS BOX"/>
        <s v="MITCHELL TENNIS CENTER TICKET BOOTH"/>
        <s v="OMAR SMITH INSTRUCTIONAL TENNIS CENTER"/>
        <s v="WEST CAMPUS OFFICE PAVILION"/>
        <s v="EQUESTRIAN TACK ROOM"/>
        <s v="EQUINE HAY &amp; GRASS STORAGE"/>
        <s v="ANIMAL SCIENCE STALLION BARN"/>
        <s v="AN SCI EQUINE NUTRITION BARN"/>
        <s v="SMALL UPLAND FOWL RES. LAB."/>
        <s v="IODP HAZMAT CONTAINMENT"/>
        <s v="2 RESEARCH PARK"/>
        <s v="GILCHRIST BUILDING (T.T.I.)"/>
        <s v="INTEGRATED OCEAN DRILLING BUILDING"/>
        <s v="1111 RESEARCH PARKWAY BLDG"/>
        <s v="DONALD L. HOUSTON BUILDING"/>
        <s v="OFFSHORE TECHNOLOGY RESEARCH CENTER"/>
        <s v="CENTEQ BUILDING"/>
        <s v="BUSH LIBRARY: MUSEUM &amp; ARCHIVE"/>
        <s v="ALLEN BUILDING (ACADEMIC WEST)"/>
        <s v="ANNENBERG PRESIDENTIAL CONFERENCE CENTER"/>
        <s v="Coastal Engineering Lab"/>
        <s v="ELECTRON BEAM FOOD RESEARCH FACILITY"/>
        <s v="RESEARCH PARK SWITCHING STATION"/>
        <s v="SCHMIDT HOUSE"/>
        <s v="TEXAS A&amp;M POLO CLUB STABLES"/>
        <s v="EQUESTRIAN BUILDING @ BRAZOS CO. EXPO CENTER"/>
        <s v="REPRODUCTIVE SCIENCES BLDG. A"/>
        <s v="REPRODUCTIVE SCIENCES BLDG. B"/>
        <s v="REPRODUCTIVE SCIENCES BLDG. C"/>
        <s v="REPRODUCTIVE SCIENCES BLDG. D"/>
        <s v="REPRODUCTIVE SCIENCES BLDG. E"/>
        <s v="REPRODUCTIVE SCIENCES BLDG. F"/>
        <s v="REPRODUCTIVE SCIENCES BLDG. G"/>
        <s v="REPRODUCTIVE SCIENCES BLDG. H"/>
        <s v="REPRODUCTIVE SCIENCES BLDG. I"/>
        <s v="REPRODUCTIVE SCIENCES BLDG. J"/>
        <s v="GENERAL SERVICES COMPLEX"/>
        <s v="OFFICE OF THE STATE CHEMIST BUILDING"/>
        <s v="TEXAS INSTITUTE FOR GENOMIC MEDICINE"/>
        <s v="Texas A&amp;M Institute for Preclinical Studies A"/>
        <s v="Texas A&amp;M Institute for Preclinical Studies B"/>
        <s v="Texas A&amp;M Institute for Preclinical Studies C"/>
        <s v="EAST MARK BUILDING"/>
        <s v="707 TEXAS BLDG-E"/>
        <s v="WELLS FARGO BANK PLAZA"/>
        <s v="3400 TEXAS (FAMILY HEALTH CTR)"/>
        <s v="2700 Earl Rudder Fwy South, Suite 1800"/>
        <s v="702 E. UNIVERSITY, SUITE E"/>
        <s v="EXECUTIVE OFFICE PLAZA, BRYAN TX"/>
        <s v="TEES STATE HEADQUARTERS BLDG."/>
        <s v="USAR GATEWAY FACILITY"/>
        <s v="4001 E. 29th Street, Suite 118"/>
        <s v="903B HARVEY ROAD"/>
        <s v="915B HARVEY ROAD"/>
        <s v="CUBBY HOLE TEXAS SELF-STORAGE"/>
        <s v="LONE STAR STORAGE CENTER"/>
        <s v="THE STORAGE STATION"/>
        <s v="ALL SAFE STORAGE"/>
        <s v="400 HARVEY MITCHELL, STE.100 (VALLEY PARK CENTER)"/>
        <s v="702 E. UNIVERSITY, SUITE D"/>
        <s v="Arctic Wolf Ice Rink"/>
        <s v="GERG Main Office Building"/>
        <s v="GERG East Lab &amp; Office Building"/>
        <s v="GERG Portable Building"/>
        <s v="GERG Warehouse"/>
        <s v="GERG SOLVENT SHED"/>
        <s v="GERG GAS SHED"/>
        <s v="Business Management Services Record Storage"/>
        <s v="BUSINESS MANAGEMENT SERVICES BUILDNG"/>
        <s v="HAGLER CENTER"/>
        <s v="Horticulture Garden Volunteer Office"/>
        <s v="Horticulture Office"/>
        <s v="Horticulture Classroom"/>
        <s v="BECKY GATES CHILDREN'S CENTER MULTIPURPOSE BLDG"/>
        <s v="UNIVERSITY APTS. COMMUNITY MAINTENANCE BLDG."/>
        <s v="University Apartments Community Center"/>
        <s v="BECKY GATES CHILDREN'S CENTER"/>
        <s v="CONNALLY BUILDING"/>
        <s v="STATE HGTRS THERMAL PLANT"/>
        <s v="A&amp;M SYSTEM BUILDING"/>
        <s v="UNIVERSITY SERVICES BLDG"/>
        <s v="WHITE (G.R.) CONFERENCE CTR"/>
        <s v="BEEF CATTLE CENTER HEADQUARTERS"/>
        <s v="BEEF CATTLE CENTER FEED MILL"/>
        <s v="BEEF CATTLE CENTER EQUIP STORAG"/>
        <s v="BEEF CATTLE CENTER LAB/RESTROOM"/>
        <s v="BEEF CATTLE CENTER FEED STORAGE"/>
        <s v="BEEF CATTLE CENTER TACK STORAGE"/>
        <s v="NUTRITION/PHYSIOLOGY CENTER"/>
        <s v="EQUIPMENT STORAGE/DIET PREP"/>
        <s v="SHEEP FEEDING"/>
        <s v="CATTLE FEEDING"/>
        <s v="CATTLE PROCESSING"/>
        <s v="INTERDISCIPLINARY BARN"/>
        <s v="FARROWING/NURSERY"/>
        <s v="COMPOST SHED"/>
        <s v="SHEEP &amp; GOAT CENTER"/>
        <s v="LIVESTOCK HOUSING"/>
        <s v="ISOLATION BARN"/>
        <s v="THOMSEN ANIMAL EUTHENICS CENTER"/>
        <s v="WASTEWATER TREATMENT PLANT"/>
        <s v="WWTP Primary Pump Building"/>
        <s v="WWTP Secondary Pump Building"/>
        <s v="WWTP Disinfection Building"/>
        <s v="WWTP Digester Boiler Building"/>
        <s v="WWTP Equipment Storage Building"/>
        <s v="AG COMM PRINT CTR &amp; STORAGE BLD"/>
        <s v="EXTENSION CENTER OFFICE BUILDING"/>
        <s v="FOUNDATION SEED BUILDING"/>
        <s v="Metal Building"/>
        <s v="ANIMAL SHELTER"/>
        <s v="TEEX HANGER/CLASSROOMS"/>
        <s v="CHEMICAL SUPPLIES STORAGE"/>
        <s v="VOLATILE STORAGE"/>
        <s v="RESEARCH SUPPORT BLDG"/>
        <s v="ITSI STORAGE"/>
        <s v="STORAGE AND RESEARCH LAB"/>
        <s v="AQUACULTURE LAB"/>
        <s v="WATER SUPPLY BUILDING"/>
        <s v="ENERGY SYSTEMS LAB"/>
        <s v="Plasma Science/Pulsed Power Facility"/>
        <s v="BATH HOUSE"/>
        <s v="REST ROOMS"/>
        <s v="STORAGE BUILDING"/>
        <s v="OFFICE BLDG"/>
        <s v="PreFabWood Frame Office Bldg. - Riverside Campus"/>
        <s v="CHAPEL &amp; ASSEMBLY HALL"/>
        <s v="ARCHITECTURE RANCH"/>
        <s v="TTI Erosion and Sediment Control Laboratory/Rainfa"/>
        <s v="Aerospace HANGAR"/>
        <s v="ELEN STORAGE"/>
        <s v="TEES RECORDS ARCHIVE"/>
        <s v="TTI RESEARCH"/>
        <s v="CONSERVATION RESEARCH LAB"/>
        <s v="CONSERVATION PROJECTS"/>
        <s v="TRANSFORMER WAREHOUSE"/>
        <s v="TEEX - PS&amp;S DRIVING TRACK PAVILION"/>
        <s v="GOOD LAB PRACTICES"/>
        <s v="CONTROL TOWER"/>
        <s v="FLIGHT LAB STORAGE"/>
        <s v="TURBO LAB STORAGE"/>
        <s v="BIOLOGY STORAGE"/>
        <s v="TTI SAFETY DIVISION HANGAR"/>
        <s v="TTI HANGAR OFFICE BLDG"/>
        <s v="MECHANICAL TECH LAB"/>
        <s v="TTI MACHINING FACILITY"/>
        <s v="TTI Storage"/>
        <s v="PUBLICATIONS PRO. CENTER"/>
        <s v="NAUTICAL ARCHEOLOGY STORAGE"/>
        <s v="TEEX STORAGE"/>
        <s v="PROCESSING LAB"/>
        <s v="SOLVENT EXTRACTION BUILDING"/>
        <s v="GUAYULE EXTRACTION BUILDING"/>
        <s v="REFINERY"/>
        <s v="FATS &amp; OILS PROCESSING BLDG"/>
        <s v="TEEX COPY CENTER"/>
        <s v="RIVERSIDE WATER DISTRIBUTION PUMP STATION"/>
        <s v="TTI PENDULUM TEST FACILITY"/>
        <s v="AM VI OFFICE AND SHOPS"/>
        <s v="TEEX - PS&amp;S OFFICE BLDG"/>
        <s v="TEES SMOKE DETECTOR RESEARCH"/>
        <s v="TEEX - PS&amp;S PROP HOUSE #1"/>
        <s v="TEEX - PS&amp;S PROP HOUSE #2"/>
        <s v="TEEX ITSI OFFICES"/>
        <s v="TEEX - ITSI"/>
        <s v="TEEX COVERED TRAINING AREA"/>
        <s v="ESTI HAZ MAT WAREHOUSE"/>
        <s v="TEEX ITSI SHOP"/>
        <s v="ESTI HAZ MAT TECHNICIAN SHOP"/>
        <s v="TEEX EUPWTI BUILDING"/>
        <s v="TEEX EUPWTI BUILDIING"/>
        <s v="ESTI HAZ MAT STORAGE"/>
        <s v="TEEX EUPWTI PARKING"/>
        <s v="TEEX ITSI GARAGE &amp; OFFICES"/>
        <s v="TEEX ITSI OFFICES - WATER LAB"/>
        <s v="Administrative BLDG"/>
        <s v="IODP/OCEANOGRAPHY BLDG"/>
        <s v="OCEAN DRILLING TEST FACILITY"/>
        <s v="TEEX - ITSI TECH BLDG"/>
        <s v="TELECOMMUNICATIONS BUILDING"/>
        <s v="TEEX WAREHOUSE"/>
        <s v="INSTRUCTIONAL MATERIALS SERV"/>
        <s v="TCE PROGRAM SUPPORT BLDG 1"/>
        <s v="TEEX CLASSROOM NO 4"/>
        <s v="ARCHAEOLOGICAL PROJECTS BLDG"/>
        <s v="TCE PROGRAM SUPPORT BLDG 2"/>
        <s v="NAUTICAL ARCHAEOLOGY"/>
        <s v="TTI PAVEMENTS RESEARCH FACILITY"/>
        <s v="Wash Rack"/>
        <s v="FIRE STATION"/>
        <s v="PAINT BOOTH"/>
        <s v="TRUCK MAINTENANCE SHOP"/>
        <s v="WATER LAB AT CUP"/>
        <s v="TEEX - PS&amp;S UXO Demo Range Pavilion"/>
        <s v="TEEX - PS&amp;S UXO Search Grid Pavilion"/>
        <s v="TEEX - PS&amp;S Firing Range Classroom"/>
        <s v="TEEX Shoot House"/>
        <s v="GROVE TEMPORARY BUILDING"/>
        <s v="STUDENT MEDIA TEMPORARY BUILDING"/>
        <s v="Transportation Services Barricade Storage"/>
        <s v="Substation (West Campus)"/>
        <s v="WATER TOWER"/>
        <s v="Varsity Softball Complex"/>
        <s v="Varsity Soccer Complex"/>
        <s v="Food Service Vending Trailer"/>
      </sharedItems>
    </cacheField>
    <cacheField name="CampusCode">
      <sharedItems containsMixedTypes="0"/>
    </cacheField>
    <cacheField name="IsBldg">
      <sharedItems containsMixedTypes="0" count="4">
        <s v="Y"/>
        <s v="U"/>
        <s v="N"/>
        <s v="Z"/>
      </sharedItems>
    </cacheField>
    <cacheField name="StatusCode">
      <sharedItems containsMixedTypes="0"/>
    </cacheField>
    <cacheField name="Status">
      <sharedItems containsMixedTypes="0"/>
    </cacheField>
    <cacheField name="ProjectNo">
      <sharedItems containsMixedTypes="0"/>
    </cacheField>
    <cacheField name="LocCode">
      <sharedItems containsMixedTypes="0"/>
    </cacheField>
    <cacheField name="LocDesc">
      <sharedItems containsMixedTypes="0"/>
    </cacheField>
    <cacheField name="LocType">
      <sharedItems containsMixedTypes="0"/>
    </cacheField>
    <cacheField name="LocTypeDesc">
      <sharedItems containsMixedTypes="0"/>
    </cacheField>
    <cacheField name="OwnerCode">
      <sharedItems containsMixedTypes="0"/>
    </cacheField>
    <cacheField name="OwnerDesc">
      <sharedItems containsMixedTypes="0"/>
    </cacheField>
    <cacheField name="CondCode">
      <sharedItems containsMixedTypes="0"/>
    </cacheField>
    <cacheField name="CondDesc">
      <sharedItems containsMixedTypes="0"/>
    </cacheField>
    <cacheField name="TypeCode">
      <sharedItems containsMixedTypes="0"/>
    </cacheField>
    <cacheField name="TypeDesc">
      <sharedItems containsMixedTypes="0"/>
    </cacheField>
    <cacheField name="YearBuilt">
      <sharedItems containsMixedTypes="0"/>
    </cacheField>
    <cacheField name="NumFloors">
      <sharedItems containsMixedTypes="0"/>
    </cacheField>
    <cacheField name="BldgGross">
      <sharedItems containsMixedTypes="1" containsNumber="1"/>
    </cacheField>
    <cacheField name="Address">
      <sharedItems containsMixedTypes="0"/>
    </cacheField>
    <cacheField name="City">
      <sharedItems containsMixedTypes="0"/>
    </cacheField>
    <cacheField name="Zip">
      <sharedItems containsMixedTypes="0"/>
    </cacheField>
    <cacheField name="911 address?">
      <sharedItems containsMixedTypes="0" count="2">
        <s v="N"/>
        <s v="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761" firstHeaderRow="1" firstDataRow="1" firstDataCol="3"/>
  <pivotFields count="26">
    <pivotField compact="0" showAll="0"/>
    <pivotField dataField="1" compact="0" showAll="0"/>
    <pivotField compact="0" showAll="0"/>
    <pivotField axis="axisRow" compact="0" showAll="0">
      <items count="755">
        <item x="562"/>
        <item x="507"/>
        <item x="559"/>
        <item x="595"/>
        <item x="594"/>
        <item x="607"/>
        <item x="600"/>
        <item x="608"/>
        <item x="596"/>
        <item x="592"/>
        <item x="601"/>
        <item x="602"/>
        <item x="628"/>
        <item x="148"/>
        <item x="137"/>
        <item x="724"/>
        <item x="180"/>
        <item x="453"/>
        <item x="678"/>
        <item x="655"/>
        <item x="314"/>
        <item x="313"/>
        <item x="333"/>
        <item x="263"/>
        <item x="273"/>
        <item x="312"/>
        <item x="447"/>
        <item x="57"/>
        <item x="182"/>
        <item x="606"/>
        <item x="567"/>
        <item x="707"/>
        <item x="556"/>
        <item x="403"/>
        <item x="157"/>
        <item x="555"/>
        <item x="659"/>
        <item x="568"/>
        <item x="161"/>
        <item x="39"/>
        <item x="666"/>
        <item x="4"/>
        <item x="12"/>
        <item x="733"/>
        <item x="62"/>
        <item x="122"/>
        <item x="676"/>
        <item x="609"/>
        <item x="136"/>
        <item x="352"/>
        <item x="357"/>
        <item x="356"/>
        <item x="353"/>
        <item x="354"/>
        <item x="355"/>
        <item x="358"/>
        <item x="359"/>
        <item x="360"/>
        <item x="362"/>
        <item x="361"/>
        <item x="670"/>
        <item x="274"/>
        <item x="625"/>
        <item x="622"/>
        <item x="633"/>
        <item x="632"/>
        <item x="635"/>
        <item x="631"/>
        <item x="634"/>
        <item x="636"/>
        <item x="22"/>
        <item x="170"/>
        <item x="189"/>
        <item x="369"/>
        <item x="517"/>
        <item x="367"/>
        <item x="152"/>
        <item x="138"/>
        <item x="235"/>
        <item x="690"/>
        <item x="109"/>
        <item x="192"/>
        <item x="163"/>
        <item x="523"/>
        <item x="3"/>
        <item x="209"/>
        <item x="248"/>
        <item x="95"/>
        <item x="58"/>
        <item x="64"/>
        <item x="298"/>
        <item x="92"/>
        <item x="566"/>
        <item x="617"/>
        <item x="616"/>
        <item x="257"/>
        <item x="151"/>
        <item x="504"/>
        <item x="442"/>
        <item x="128"/>
        <item x="315"/>
        <item x="513"/>
        <item x="640"/>
        <item x="641"/>
        <item x="82"/>
        <item x="565"/>
        <item x="324"/>
        <item x="154"/>
        <item x="173"/>
        <item x="675"/>
        <item x="661"/>
        <item x="167"/>
        <item x="73"/>
        <item x="228"/>
        <item x="300"/>
        <item x="169"/>
        <item x="502"/>
        <item x="499"/>
        <item x="501"/>
        <item x="500"/>
        <item x="503"/>
        <item x="506"/>
        <item x="210"/>
        <item x="282"/>
        <item x="342"/>
        <item x="283"/>
        <item x="569"/>
        <item x="147"/>
        <item x="351"/>
        <item x="350"/>
        <item x="129"/>
        <item x="644"/>
        <item x="185"/>
        <item x="175"/>
        <item x="626"/>
        <item x="683"/>
        <item x="682"/>
        <item x="687"/>
        <item x="465"/>
        <item x="493"/>
        <item x="494"/>
        <item x="495"/>
        <item x="496"/>
        <item x="497"/>
        <item x="498"/>
        <item x="332"/>
        <item x="270"/>
        <item x="541"/>
        <item x="107"/>
        <item x="603"/>
        <item x="256"/>
        <item x="382"/>
        <item x="323"/>
        <item x="383"/>
        <item x="381"/>
        <item x="384"/>
        <item x="108"/>
        <item x="183"/>
        <item x="563"/>
        <item x="186"/>
        <item x="435"/>
        <item x="139"/>
        <item x="131"/>
        <item x="591"/>
        <item x="243"/>
        <item x="242"/>
        <item x="344"/>
        <item x="345"/>
        <item x="454"/>
        <item x="241"/>
        <item x="335"/>
        <item x="374"/>
        <item x="570"/>
        <item x="679"/>
        <item x="668"/>
        <item x="88"/>
        <item x="260"/>
        <item x="249"/>
        <item x="38"/>
        <item x="574"/>
        <item x="553"/>
        <item x="372"/>
        <item x="371"/>
        <item x="377"/>
        <item x="554"/>
        <item x="638"/>
        <item x="227"/>
        <item x="487"/>
        <item x="473"/>
        <item x="475"/>
        <item x="474"/>
        <item x="456"/>
        <item x="457"/>
        <item x="458"/>
        <item x="232"/>
        <item x="47"/>
        <item x="460"/>
        <item x="48"/>
        <item x="478"/>
        <item x="44"/>
        <item x="491"/>
        <item x="483"/>
        <item x="46"/>
        <item x="43"/>
        <item x="484"/>
        <item x="486"/>
        <item x="461"/>
        <item x="363"/>
        <item x="53"/>
        <item x="482"/>
        <item x="366"/>
        <item x="468"/>
        <item x="51"/>
        <item x="31"/>
        <item x="32"/>
        <item x="720"/>
        <item x="717"/>
        <item x="715"/>
        <item x="479"/>
        <item x="59"/>
        <item x="459"/>
        <item x="224"/>
        <item x="485"/>
        <item x="476"/>
        <item x="477"/>
        <item x="225"/>
        <item x="492"/>
        <item x="365"/>
        <item x="480"/>
        <item x="55"/>
        <item x="29"/>
        <item x="56"/>
        <item x="49"/>
        <item x="45"/>
        <item x="54"/>
        <item x="364"/>
        <item x="481"/>
        <item x="50"/>
        <item x="469"/>
        <item x="30"/>
        <item x="226"/>
        <item x="231"/>
        <item x="490"/>
        <item x="52"/>
        <item x="153"/>
        <item x="597"/>
        <item x="656"/>
        <item x="9"/>
        <item x="302"/>
        <item x="303"/>
        <item x="23"/>
        <item x="301"/>
        <item x="304"/>
        <item x="305"/>
        <item x="26"/>
        <item x="643"/>
        <item x="703"/>
        <item x="165"/>
        <item x="299"/>
        <item x="5"/>
        <item x="14"/>
        <item x="15"/>
        <item x="738"/>
        <item x="386"/>
        <item x="267"/>
        <item x="688"/>
        <item x="77"/>
        <item x="78"/>
        <item x="79"/>
        <item x="390"/>
        <item x="144"/>
        <item x="398"/>
        <item x="397"/>
        <item x="753"/>
        <item x="280"/>
        <item x="326"/>
        <item x="146"/>
        <item x="389"/>
        <item x="317"/>
        <item x="396"/>
        <item x="657"/>
        <item x="96"/>
        <item x="117"/>
        <item x="160"/>
        <item x="373"/>
        <item x="140"/>
        <item x="97"/>
        <item x="348"/>
        <item x="585"/>
        <item x="218"/>
        <item x="443"/>
        <item x="544"/>
        <item x="611"/>
        <item x="615"/>
        <item x="610"/>
        <item x="612"/>
        <item x="614"/>
        <item x="613"/>
        <item x="560"/>
        <item x="220"/>
        <item x="221"/>
        <item x="219"/>
        <item x="686"/>
        <item x="174"/>
        <item x="330"/>
        <item x="329"/>
        <item x="328"/>
        <item x="455"/>
        <item x="223"/>
        <item x="236"/>
        <item x="233"/>
        <item x="234"/>
        <item x="252"/>
        <item x="254"/>
        <item x="86"/>
        <item x="215"/>
        <item x="239"/>
        <item x="253"/>
        <item x="746"/>
        <item x="701"/>
        <item x="211"/>
        <item x="618"/>
        <item x="168"/>
        <item x="100"/>
        <item x="127"/>
        <item x="125"/>
        <item x="103"/>
        <item x="110"/>
        <item x="17"/>
        <item x="21"/>
        <item x="444"/>
        <item x="380"/>
        <item x="164"/>
        <item x="512"/>
        <item x="181"/>
        <item x="190"/>
        <item x="115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69"/>
        <item x="70"/>
        <item x="71"/>
        <item x="72"/>
        <item x="217"/>
        <item x="255"/>
        <item x="272"/>
        <item x="388"/>
        <item x="526"/>
        <item x="621"/>
        <item x="525"/>
        <item x="619"/>
        <item x="145"/>
        <item x="245"/>
        <item x="246"/>
        <item x="620"/>
        <item x="240"/>
        <item x="247"/>
        <item x="308"/>
        <item x="277"/>
        <item x="287"/>
        <item x="516"/>
        <item x="114"/>
        <item x="116"/>
        <item x="176"/>
        <item x="1"/>
        <item x="2"/>
        <item x="730"/>
        <item x="561"/>
        <item x="642"/>
        <item x="530"/>
        <item x="558"/>
        <item x="725"/>
        <item x="647"/>
        <item x="664"/>
        <item x="83"/>
        <item x="158"/>
        <item x="87"/>
        <item x="118"/>
        <item x="94"/>
        <item x="511"/>
        <item x="80"/>
        <item x="130"/>
        <item x="67"/>
        <item x="281"/>
        <item x="98"/>
        <item x="462"/>
        <item x="91"/>
        <item x="259"/>
        <item x="405"/>
        <item x="172"/>
        <item x="40"/>
        <item x="111"/>
        <item x="99"/>
        <item x="89"/>
        <item x="646"/>
        <item x="604"/>
        <item x="124"/>
        <item x="0"/>
        <item x="121"/>
        <item x="13"/>
        <item x="212"/>
        <item x="531"/>
        <item x="532"/>
        <item x="119"/>
        <item x="448"/>
        <item x="237"/>
        <item x="693"/>
        <item x="519"/>
        <item x="155"/>
        <item x="141"/>
        <item x="658"/>
        <item x="142"/>
        <item x="112"/>
        <item x="41"/>
        <item x="42"/>
        <item x="550"/>
        <item x="188"/>
        <item x="106"/>
        <item x="105"/>
        <item x="123"/>
        <item x="318"/>
        <item x="184"/>
        <item x="285"/>
        <item x="349"/>
        <item x="177"/>
        <item x="735"/>
        <item x="697"/>
        <item x="216"/>
        <item x="488"/>
        <item x="244"/>
        <item x="402"/>
        <item x="85"/>
        <item x="467"/>
        <item x="347"/>
        <item x="311"/>
        <item x="637"/>
        <item x="726"/>
        <item x="132"/>
        <item x="673"/>
        <item x="27"/>
        <item x="586"/>
        <item x="564"/>
        <item x="296"/>
        <item x="535"/>
        <item x="534"/>
        <item x="533"/>
        <item x="536"/>
        <item x="551"/>
        <item x="739"/>
        <item x="524"/>
        <item x="450"/>
        <item x="393"/>
        <item x="370"/>
        <item x="156"/>
        <item x="378"/>
        <item x="539"/>
        <item x="133"/>
        <item x="261"/>
        <item x="279"/>
        <item x="375"/>
        <item x="20"/>
        <item x="438"/>
        <item x="265"/>
        <item x="271"/>
        <item x="268"/>
        <item x="6"/>
        <item x="7"/>
        <item x="8"/>
        <item x="11"/>
        <item x="10"/>
        <item x="669"/>
        <item x="440"/>
        <item x="290"/>
        <item x="413"/>
        <item x="409"/>
        <item x="411"/>
        <item x="407"/>
        <item x="414"/>
        <item x="408"/>
        <item x="412"/>
        <item x="416"/>
        <item x="417"/>
        <item x="418"/>
        <item x="419"/>
        <item x="410"/>
        <item x="406"/>
        <item x="674"/>
        <item x="214"/>
        <item x="518"/>
        <item x="699"/>
        <item x="420"/>
        <item x="422"/>
        <item x="421"/>
        <item x="415"/>
        <item x="149"/>
        <item x="696"/>
        <item x="16"/>
        <item x="266"/>
        <item x="275"/>
        <item x="276"/>
        <item x="385"/>
        <item x="24"/>
        <item x="391"/>
        <item x="68"/>
        <item x="537"/>
        <item x="379"/>
        <item x="126"/>
        <item x="702"/>
        <item x="423"/>
        <item x="575"/>
        <item x="576"/>
        <item x="577"/>
        <item x="578"/>
        <item x="579"/>
        <item x="580"/>
        <item x="581"/>
        <item x="582"/>
        <item x="583"/>
        <item x="584"/>
        <item x="368"/>
        <item x="339"/>
        <item x="571"/>
        <item x="663"/>
        <item x="671"/>
        <item x="514"/>
        <item x="84"/>
        <item x="705"/>
        <item x="437"/>
        <item x="515"/>
        <item x="37"/>
        <item x="135"/>
        <item x="18"/>
        <item x="81"/>
        <item x="509"/>
        <item x="510"/>
        <item x="74"/>
        <item x="171"/>
        <item x="572"/>
        <item x="527"/>
        <item x="528"/>
        <item x="529"/>
        <item x="433"/>
        <item x="120"/>
        <item x="162"/>
        <item x="269"/>
        <item x="336"/>
        <item x="338"/>
        <item x="505"/>
        <item x="645"/>
        <item x="639"/>
        <item x="436"/>
        <item x="557"/>
        <item x="66"/>
        <item x="547"/>
        <item x="548"/>
        <item x="387"/>
        <item x="337"/>
        <item x="331"/>
        <item x="327"/>
        <item x="264"/>
        <item x="700"/>
        <item x="75"/>
        <item x="522"/>
        <item x="93"/>
        <item x="150"/>
        <item x="627"/>
        <item x="63"/>
        <item x="229"/>
        <item x="665"/>
        <item x="672"/>
        <item x="19"/>
        <item x="452"/>
        <item x="230"/>
        <item x="747"/>
        <item x="543"/>
        <item x="749"/>
        <item x="449"/>
        <item x="143"/>
        <item x="731"/>
        <item x="734"/>
        <item x="134"/>
        <item x="680"/>
        <item x="709"/>
        <item x="598"/>
        <item x="713"/>
        <item x="727"/>
        <item x="685"/>
        <item x="744"/>
        <item x="708"/>
        <item x="710"/>
        <item x="711"/>
        <item x="742"/>
        <item x="743"/>
        <item x="732"/>
        <item x="704"/>
        <item x="714"/>
        <item x="719"/>
        <item x="718"/>
        <item x="721"/>
        <item x="660"/>
        <item x="722"/>
        <item x="712"/>
        <item x="723"/>
        <item x="716"/>
        <item x="745"/>
        <item x="698"/>
        <item x="729"/>
        <item x="728"/>
        <item x="446"/>
        <item x="65"/>
        <item x="588"/>
        <item x="589"/>
        <item x="590"/>
        <item x="573"/>
        <item x="587"/>
        <item x="316"/>
        <item x="605"/>
        <item x="60"/>
        <item x="434"/>
        <item x="166"/>
        <item x="648"/>
        <item x="297"/>
        <item x="540"/>
        <item x="538"/>
        <item x="25"/>
        <item x="546"/>
        <item x="286"/>
        <item x="684"/>
        <item x="278"/>
        <item x="445"/>
        <item x="748"/>
        <item x="740"/>
        <item x="677"/>
        <item x="692"/>
        <item x="694"/>
        <item x="736"/>
        <item x="706"/>
        <item x="681"/>
        <item x="691"/>
        <item x="695"/>
        <item x="689"/>
        <item x="463"/>
        <item x="464"/>
        <item x="284"/>
        <item x="424"/>
        <item x="425"/>
        <item x="426"/>
        <item x="427"/>
        <item x="428"/>
        <item x="429"/>
        <item x="430"/>
        <item x="431"/>
        <item x="432"/>
        <item x="293"/>
        <item x="262"/>
        <item x="306"/>
        <item x="289"/>
        <item x="33"/>
        <item x="466"/>
        <item x="292"/>
        <item x="394"/>
        <item x="191"/>
        <item x="288"/>
        <item x="346"/>
        <item x="319"/>
        <item x="294"/>
        <item x="258"/>
        <item x="307"/>
        <item x="399"/>
        <item x="334"/>
        <item x="28"/>
        <item x="35"/>
        <item x="34"/>
        <item x="90"/>
        <item x="624"/>
        <item x="623"/>
        <item x="76"/>
        <item x="629"/>
        <item x="471"/>
        <item x="472"/>
        <item x="470"/>
        <item x="599"/>
        <item x="489"/>
        <item x="320"/>
        <item x="322"/>
        <item x="104"/>
        <item x="508"/>
        <item x="343"/>
        <item x="441"/>
        <item x="439"/>
        <item x="752"/>
        <item x="549"/>
        <item x="751"/>
        <item x="61"/>
        <item x="392"/>
        <item x="401"/>
        <item x="178"/>
        <item x="310"/>
        <item x="404"/>
        <item x="341"/>
        <item x="179"/>
        <item x="213"/>
        <item x="321"/>
        <item x="309"/>
        <item x="291"/>
        <item x="662"/>
        <item x="193"/>
        <item x="395"/>
        <item x="113"/>
        <item x="376"/>
        <item x="737"/>
        <item x="649"/>
        <item x="250"/>
        <item x="295"/>
        <item x="741"/>
        <item x="667"/>
        <item x="750"/>
        <item x="325"/>
        <item x="520"/>
        <item x="251"/>
        <item x="593"/>
        <item x="36"/>
        <item x="521"/>
        <item x="552"/>
        <item x="542"/>
        <item x="340"/>
        <item x="630"/>
        <item x="102"/>
        <item x="101"/>
        <item x="400"/>
        <item x="238"/>
        <item x="451"/>
        <item x="545"/>
        <item x="222"/>
        <item x="653"/>
        <item x="652"/>
        <item x="654"/>
        <item x="650"/>
        <item x="651"/>
        <item x="159"/>
        <item x="187"/>
        <item t="default"/>
      </items>
    </pivotField>
    <pivotField compact="0" showAll="0"/>
    <pivotField axis="axisRow" compact="0" showAll="0">
      <items count="5">
        <item sd="0" x="2"/>
        <item x="1"/>
        <item x="0"/>
        <item sd="0"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3">
        <item x="0"/>
        <item x="1"/>
        <item t="default"/>
      </items>
    </pivotField>
  </pivotFields>
  <rowFields count="3">
    <field x="25"/>
    <field x="5"/>
    <field x="3"/>
  </rowFields>
  <rowItems count="759">
    <i>
      <x/>
    </i>
    <i r="1">
      <x/>
    </i>
    <i r="1">
      <x v="1"/>
    </i>
    <i r="2">
      <x v="102"/>
    </i>
    <i r="2">
      <x v="103"/>
    </i>
    <i r="2">
      <x v="250"/>
    </i>
    <i r="2">
      <x v="307"/>
    </i>
    <i r="2">
      <x v="352"/>
    </i>
    <i r="2">
      <x v="353"/>
    </i>
    <i r="2">
      <x v="354"/>
    </i>
    <i r="2">
      <x v="381"/>
    </i>
    <i r="2">
      <x v="523"/>
    </i>
    <i r="2">
      <x v="524"/>
    </i>
    <i r="2">
      <x v="528"/>
    </i>
    <i r="2">
      <x v="529"/>
    </i>
    <i r="2">
      <x v="562"/>
    </i>
    <i r="2">
      <x v="744"/>
    </i>
    <i r="1">
      <x v="2"/>
    </i>
    <i r="2">
      <x v="24"/>
    </i>
    <i r="2">
      <x v="25"/>
    </i>
    <i r="2">
      <x v="26"/>
    </i>
    <i r="2">
      <x v="33"/>
    </i>
    <i r="2">
      <x v="35"/>
    </i>
    <i r="2">
      <x v="41"/>
    </i>
    <i r="2">
      <x v="42"/>
    </i>
    <i r="2">
      <x v="64"/>
    </i>
    <i r="2">
      <x v="65"/>
    </i>
    <i r="2">
      <x v="66"/>
    </i>
    <i r="2">
      <x v="68"/>
    </i>
    <i r="2">
      <x v="69"/>
    </i>
    <i r="2">
      <x v="70"/>
    </i>
    <i r="2">
      <x v="84"/>
    </i>
    <i r="2">
      <x v="90"/>
    </i>
    <i r="2">
      <x v="94"/>
    </i>
    <i r="2">
      <x v="95"/>
    </i>
    <i r="2">
      <x v="98"/>
    </i>
    <i r="2">
      <x v="114"/>
    </i>
    <i r="2">
      <x v="123"/>
    </i>
    <i r="2">
      <x v="124"/>
    </i>
    <i r="2">
      <x v="125"/>
    </i>
    <i r="2">
      <x v="128"/>
    </i>
    <i r="2">
      <x v="129"/>
    </i>
    <i r="2">
      <x v="141"/>
    </i>
    <i r="2">
      <x v="146"/>
    </i>
    <i r="2">
      <x v="153"/>
    </i>
    <i r="2">
      <x v="154"/>
    </i>
    <i r="2">
      <x v="155"/>
    </i>
    <i r="2">
      <x v="170"/>
    </i>
    <i r="2">
      <x v="171"/>
    </i>
    <i r="2">
      <x v="179"/>
    </i>
    <i r="2">
      <x v="180"/>
    </i>
    <i r="2">
      <x v="181"/>
    </i>
    <i r="2">
      <x v="183"/>
    </i>
    <i r="2">
      <x v="184"/>
    </i>
    <i r="2">
      <x v="185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6"/>
    </i>
    <i r="2">
      <x v="198"/>
    </i>
    <i r="2">
      <x v="199"/>
    </i>
    <i r="2">
      <x v="200"/>
    </i>
    <i r="2">
      <x v="201"/>
    </i>
    <i r="2">
      <x v="203"/>
    </i>
    <i r="2">
      <x v="204"/>
    </i>
    <i r="2">
      <x v="205"/>
    </i>
    <i r="2">
      <x v="206"/>
    </i>
    <i r="2">
      <x v="209"/>
    </i>
    <i r="2">
      <x v="211"/>
    </i>
    <i r="2">
      <x v="213"/>
    </i>
    <i r="2">
      <x v="215"/>
    </i>
    <i r="2">
      <x v="217"/>
    </i>
    <i r="2">
      <x v="218"/>
    </i>
    <i r="2">
      <x v="220"/>
    </i>
    <i r="2">
      <x v="222"/>
    </i>
    <i r="2">
      <x v="223"/>
    </i>
    <i r="2">
      <x v="224"/>
    </i>
    <i r="2">
      <x v="225"/>
    </i>
    <i r="2">
      <x v="226"/>
    </i>
    <i r="2">
      <x v="228"/>
    </i>
    <i r="2">
      <x v="236"/>
    </i>
    <i r="2">
      <x v="240"/>
    </i>
    <i r="2">
      <x v="242"/>
    </i>
    <i r="2">
      <x v="247"/>
    </i>
    <i r="2">
      <x v="248"/>
    </i>
    <i r="2">
      <x v="249"/>
    </i>
    <i r="2">
      <x v="253"/>
    </i>
    <i r="2">
      <x v="254"/>
    </i>
    <i r="2">
      <x v="258"/>
    </i>
    <i r="2">
      <x v="259"/>
    </i>
    <i r="2">
      <x v="260"/>
    </i>
    <i r="2">
      <x v="261"/>
    </i>
    <i r="2">
      <x v="263"/>
    </i>
    <i r="2">
      <x v="266"/>
    </i>
    <i r="2">
      <x v="267"/>
    </i>
    <i r="2">
      <x v="268"/>
    </i>
    <i r="2">
      <x v="269"/>
    </i>
    <i r="2">
      <x v="273"/>
    </i>
    <i r="2">
      <x v="275"/>
    </i>
    <i r="2">
      <x v="277"/>
    </i>
    <i r="2">
      <x v="279"/>
    </i>
    <i r="2">
      <x v="287"/>
    </i>
    <i r="2">
      <x v="289"/>
    </i>
    <i r="2">
      <x v="290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300"/>
    </i>
    <i r="2">
      <x v="304"/>
    </i>
    <i r="2">
      <x v="305"/>
    </i>
    <i r="2">
      <x v="306"/>
    </i>
    <i r="2">
      <x v="308"/>
    </i>
    <i r="2">
      <x v="309"/>
    </i>
    <i r="2">
      <x v="310"/>
    </i>
    <i r="2">
      <x v="311"/>
    </i>
    <i r="2">
      <x v="312"/>
    </i>
    <i r="2">
      <x v="314"/>
    </i>
    <i r="2">
      <x v="315"/>
    </i>
    <i r="2">
      <x v="317"/>
    </i>
    <i r="2">
      <x v="328"/>
    </i>
    <i r="2">
      <x v="329"/>
    </i>
    <i r="2">
      <x v="330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5"/>
    </i>
    <i r="2">
      <x v="358"/>
    </i>
    <i r="2">
      <x v="359"/>
    </i>
    <i r="2">
      <x v="360"/>
    </i>
    <i r="2">
      <x v="362"/>
    </i>
    <i r="2">
      <x v="365"/>
    </i>
    <i r="2">
      <x v="366"/>
    </i>
    <i r="2">
      <x v="369"/>
    </i>
    <i r="2">
      <x v="371"/>
    </i>
    <i r="2">
      <x v="372"/>
    </i>
    <i r="2">
      <x v="377"/>
    </i>
    <i r="2">
      <x v="378"/>
    </i>
    <i r="2">
      <x v="385"/>
    </i>
    <i r="2">
      <x v="400"/>
    </i>
    <i r="2">
      <x v="407"/>
    </i>
    <i r="2">
      <x v="410"/>
    </i>
    <i r="2">
      <x v="412"/>
    </i>
    <i r="2">
      <x v="423"/>
    </i>
    <i r="2">
      <x v="435"/>
    </i>
    <i r="2">
      <x v="441"/>
    </i>
    <i r="2">
      <x v="452"/>
    </i>
    <i r="2">
      <x v="455"/>
    </i>
    <i r="2">
      <x v="459"/>
    </i>
    <i r="2">
      <x v="463"/>
    </i>
    <i r="2">
      <x v="473"/>
    </i>
    <i r="2">
      <x v="476"/>
    </i>
    <i r="2">
      <x v="478"/>
    </i>
    <i r="2">
      <x v="479"/>
    </i>
    <i r="2">
      <x v="480"/>
    </i>
    <i r="2">
      <x v="481"/>
    </i>
    <i r="2">
      <x v="482"/>
    </i>
    <i r="2">
      <x v="484"/>
    </i>
    <i r="2">
      <x v="486"/>
    </i>
    <i r="2">
      <x v="487"/>
    </i>
    <i r="2">
      <x v="488"/>
    </i>
    <i r="2">
      <x v="489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503"/>
    </i>
    <i r="2">
      <x v="504"/>
    </i>
    <i r="2">
      <x v="505"/>
    </i>
    <i r="2">
      <x v="506"/>
    </i>
    <i r="2">
      <x v="509"/>
    </i>
    <i r="2">
      <x v="511"/>
    </i>
    <i r="2">
      <x v="514"/>
    </i>
    <i r="2">
      <x v="522"/>
    </i>
    <i r="2">
      <x v="525"/>
    </i>
    <i r="2">
      <x v="526"/>
    </i>
    <i r="2">
      <x v="527"/>
    </i>
    <i r="2">
      <x v="530"/>
    </i>
    <i r="2">
      <x v="531"/>
    </i>
    <i r="2">
      <x v="534"/>
    </i>
    <i r="2">
      <x v="536"/>
    </i>
    <i r="2">
      <x v="544"/>
    </i>
    <i r="2">
      <x v="557"/>
    </i>
    <i r="2">
      <x v="558"/>
    </i>
    <i r="2">
      <x v="559"/>
    </i>
    <i r="2">
      <x v="563"/>
    </i>
    <i r="2">
      <x v="564"/>
    </i>
    <i r="2">
      <x v="568"/>
    </i>
    <i r="2">
      <x v="569"/>
    </i>
    <i r="2">
      <x v="571"/>
    </i>
    <i r="2">
      <x v="578"/>
    </i>
    <i r="2">
      <x v="583"/>
    </i>
    <i r="2">
      <x v="584"/>
    </i>
    <i r="2">
      <x v="585"/>
    </i>
    <i r="2">
      <x v="600"/>
    </i>
    <i r="2">
      <x v="604"/>
    </i>
    <i r="2">
      <x v="605"/>
    </i>
    <i r="2">
      <x v="617"/>
    </i>
    <i r="2">
      <x v="621"/>
    </i>
    <i r="2">
      <x v="626"/>
    </i>
    <i r="2">
      <x v="634"/>
    </i>
    <i r="2">
      <x v="637"/>
    </i>
    <i r="2">
      <x v="639"/>
    </i>
    <i r="2">
      <x v="642"/>
    </i>
    <i r="2">
      <x v="655"/>
    </i>
    <i r="2">
      <x v="657"/>
    </i>
    <i r="2">
      <x v="658"/>
    </i>
    <i r="2">
      <x v="659"/>
    </i>
    <i r="2">
      <x v="660"/>
    </i>
    <i r="2">
      <x v="661"/>
    </i>
    <i r="2">
      <x v="662"/>
    </i>
    <i r="2">
      <x v="663"/>
    </i>
    <i r="2">
      <x v="664"/>
    </i>
    <i r="2">
      <x v="666"/>
    </i>
    <i r="2">
      <x v="667"/>
    </i>
    <i r="2">
      <x v="670"/>
    </i>
    <i r="2">
      <x v="675"/>
    </i>
    <i r="2">
      <x v="682"/>
    </i>
    <i r="2">
      <x v="683"/>
    </i>
    <i r="2">
      <x v="684"/>
    </i>
    <i r="2">
      <x v="685"/>
    </i>
    <i r="2">
      <x v="691"/>
    </i>
    <i r="2">
      <x v="692"/>
    </i>
    <i r="2">
      <x v="693"/>
    </i>
    <i r="2">
      <x v="694"/>
    </i>
    <i r="2">
      <x v="695"/>
    </i>
    <i r="2">
      <x v="697"/>
    </i>
    <i r="2">
      <x v="702"/>
    </i>
    <i r="2">
      <x v="704"/>
    </i>
    <i r="2">
      <x v="719"/>
    </i>
    <i r="2">
      <x v="727"/>
    </i>
    <i r="2">
      <x v="728"/>
    </i>
    <i r="2">
      <x v="730"/>
    </i>
    <i r="2">
      <x v="733"/>
    </i>
    <i r="2">
      <x v="736"/>
    </i>
    <i r="2">
      <x v="743"/>
    </i>
    <i r="2">
      <x v="747"/>
    </i>
    <i r="2">
      <x v="748"/>
    </i>
    <i r="2">
      <x v="749"/>
    </i>
    <i r="2">
      <x v="750"/>
    </i>
    <i r="2">
      <x v="751"/>
    </i>
    <i>
      <x v="1"/>
    </i>
    <i r="1">
      <x/>
    </i>
    <i r="1">
      <x v="1"/>
    </i>
    <i r="2">
      <x v="160"/>
    </i>
    <i r="2">
      <x v="202"/>
    </i>
    <i r="2">
      <x v="237"/>
    </i>
    <i r="2">
      <x v="243"/>
    </i>
    <i r="2">
      <x v="456"/>
    </i>
    <i r="2">
      <x v="588"/>
    </i>
    <i r="2">
      <x v="643"/>
    </i>
    <i r="2">
      <x v="729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7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5"/>
    </i>
    <i r="2">
      <x v="86"/>
    </i>
    <i r="2">
      <x v="87"/>
    </i>
    <i r="2">
      <x v="88"/>
    </i>
    <i r="2">
      <x v="89"/>
    </i>
    <i r="2">
      <x v="92"/>
    </i>
    <i r="2">
      <x v="93"/>
    </i>
    <i r="2">
      <x v="96"/>
    </i>
    <i r="2">
      <x v="97"/>
    </i>
    <i r="2">
      <x v="99"/>
    </i>
    <i r="2">
      <x v="100"/>
    </i>
    <i r="2">
      <x v="101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6"/>
    </i>
    <i r="2">
      <x v="127"/>
    </i>
    <i r="2">
      <x v="129"/>
    </i>
    <i r="2">
      <x v="130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9"/>
    </i>
    <i r="2">
      <x v="140"/>
    </i>
    <i r="2">
      <x v="142"/>
    </i>
    <i r="2">
      <x v="143"/>
    </i>
    <i r="2">
      <x v="144"/>
    </i>
    <i r="2">
      <x v="145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6"/>
    </i>
    <i r="2">
      <x v="157"/>
    </i>
    <i r="2">
      <x v="158"/>
    </i>
    <i r="2">
      <x v="159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82"/>
    </i>
    <i r="2">
      <x v="194"/>
    </i>
    <i r="2">
      <x v="195"/>
    </i>
    <i r="2">
      <x v="197"/>
    </i>
    <i r="2">
      <x v="207"/>
    </i>
    <i r="2">
      <x v="208"/>
    </i>
    <i r="2">
      <x v="210"/>
    </i>
    <i r="2">
      <x v="212"/>
    </i>
    <i r="2">
      <x v="213"/>
    </i>
    <i r="2">
      <x v="214"/>
    </i>
    <i r="2">
      <x v="216"/>
    </i>
    <i r="2">
      <x v="219"/>
    </i>
    <i r="2">
      <x v="221"/>
    </i>
    <i r="2">
      <x v="227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9"/>
    </i>
    <i r="2">
      <x v="244"/>
    </i>
    <i r="2">
      <x v="245"/>
    </i>
    <i r="2">
      <x v="246"/>
    </i>
    <i r="2">
      <x v="251"/>
    </i>
    <i r="2">
      <x v="252"/>
    </i>
    <i r="2">
      <x v="255"/>
    </i>
    <i r="2">
      <x v="256"/>
    </i>
    <i r="2">
      <x v="257"/>
    </i>
    <i r="2">
      <x v="262"/>
    </i>
    <i r="2">
      <x v="264"/>
    </i>
    <i r="2">
      <x v="265"/>
    </i>
    <i r="2">
      <x v="270"/>
    </i>
    <i r="2">
      <x v="271"/>
    </i>
    <i r="2">
      <x v="272"/>
    </i>
    <i r="2">
      <x v="274"/>
    </i>
    <i r="2">
      <x v="276"/>
    </i>
    <i r="2">
      <x v="278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8"/>
    </i>
    <i r="2">
      <x v="291"/>
    </i>
    <i r="2">
      <x v="298"/>
    </i>
    <i r="2">
      <x v="299"/>
    </i>
    <i r="2">
      <x v="301"/>
    </i>
    <i r="2">
      <x v="302"/>
    </i>
    <i r="2">
      <x v="303"/>
    </i>
    <i r="2">
      <x v="309"/>
    </i>
    <i r="2">
      <x v="313"/>
    </i>
    <i r="2">
      <x v="316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56"/>
    </i>
    <i r="2">
      <x v="357"/>
    </i>
    <i r="2">
      <x v="361"/>
    </i>
    <i r="2">
      <x v="363"/>
    </i>
    <i r="2">
      <x v="364"/>
    </i>
    <i r="2">
      <x v="367"/>
    </i>
    <i r="2">
      <x v="368"/>
    </i>
    <i r="2">
      <x v="370"/>
    </i>
    <i r="2">
      <x v="373"/>
    </i>
    <i r="2">
      <x v="374"/>
    </i>
    <i r="2">
      <x v="375"/>
    </i>
    <i r="2">
      <x v="376"/>
    </i>
    <i r="2">
      <x v="379"/>
    </i>
    <i r="2">
      <x v="380"/>
    </i>
    <i r="2">
      <x v="382"/>
    </i>
    <i r="2">
      <x v="383"/>
    </i>
    <i r="2">
      <x v="384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8"/>
    </i>
    <i r="2">
      <x v="409"/>
    </i>
    <i r="2">
      <x v="411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6"/>
    </i>
    <i r="2">
      <x v="437"/>
    </i>
    <i r="2">
      <x v="438"/>
    </i>
    <i r="2">
      <x v="439"/>
    </i>
    <i r="2">
      <x v="440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3"/>
    </i>
    <i r="2">
      <x v="454"/>
    </i>
    <i r="2">
      <x v="457"/>
    </i>
    <i r="2">
      <x v="458"/>
    </i>
    <i r="2">
      <x v="460"/>
    </i>
    <i r="2">
      <x v="461"/>
    </i>
    <i r="2">
      <x v="462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74"/>
    </i>
    <i r="2">
      <x v="475"/>
    </i>
    <i r="2">
      <x v="477"/>
    </i>
    <i r="2">
      <x v="483"/>
    </i>
    <i r="2">
      <x v="485"/>
    </i>
    <i r="2">
      <x v="490"/>
    </i>
    <i r="2">
      <x v="498"/>
    </i>
    <i r="2">
      <x v="499"/>
    </i>
    <i r="2">
      <x v="500"/>
    </i>
    <i r="2">
      <x v="501"/>
    </i>
    <i r="2">
      <x v="502"/>
    </i>
    <i r="2">
      <x v="507"/>
    </i>
    <i r="2">
      <x v="508"/>
    </i>
    <i r="2">
      <x v="510"/>
    </i>
    <i r="2">
      <x v="512"/>
    </i>
    <i r="2">
      <x v="513"/>
    </i>
    <i r="2">
      <x v="515"/>
    </i>
    <i r="2">
      <x v="516"/>
    </i>
    <i r="2">
      <x v="517"/>
    </i>
    <i r="2">
      <x v="518"/>
    </i>
    <i r="2">
      <x v="519"/>
    </i>
    <i r="2">
      <x v="520"/>
    </i>
    <i r="2">
      <x v="521"/>
    </i>
    <i r="2">
      <x v="532"/>
    </i>
    <i r="2">
      <x v="533"/>
    </i>
    <i r="2">
      <x v="535"/>
    </i>
    <i r="2">
      <x v="536"/>
    </i>
    <i r="2">
      <x v="537"/>
    </i>
    <i r="2">
      <x v="538"/>
    </i>
    <i r="2">
      <x v="539"/>
    </i>
    <i r="2">
      <x v="540"/>
    </i>
    <i r="2">
      <x v="541"/>
    </i>
    <i r="2">
      <x v="542"/>
    </i>
    <i r="2">
      <x v="543"/>
    </i>
    <i r="2">
      <x v="545"/>
    </i>
    <i r="2">
      <x v="546"/>
    </i>
    <i r="2">
      <x v="547"/>
    </i>
    <i r="2">
      <x v="548"/>
    </i>
    <i r="2">
      <x v="549"/>
    </i>
    <i r="2">
      <x v="550"/>
    </i>
    <i r="2">
      <x v="551"/>
    </i>
    <i r="2">
      <x v="552"/>
    </i>
    <i r="2">
      <x v="553"/>
    </i>
    <i r="2">
      <x v="554"/>
    </i>
    <i r="2">
      <x v="555"/>
    </i>
    <i r="2">
      <x v="556"/>
    </i>
    <i r="2">
      <x v="560"/>
    </i>
    <i r="2">
      <x v="561"/>
    </i>
    <i r="2">
      <x v="565"/>
    </i>
    <i r="2">
      <x v="566"/>
    </i>
    <i r="2">
      <x v="567"/>
    </i>
    <i r="2">
      <x v="570"/>
    </i>
    <i r="2">
      <x v="572"/>
    </i>
    <i r="2">
      <x v="573"/>
    </i>
    <i r="2">
      <x v="574"/>
    </i>
    <i r="2">
      <x v="575"/>
    </i>
    <i r="2">
      <x v="576"/>
    </i>
    <i r="2">
      <x v="577"/>
    </i>
    <i r="2">
      <x v="579"/>
    </i>
    <i r="2">
      <x v="580"/>
    </i>
    <i r="2">
      <x v="581"/>
    </i>
    <i r="2">
      <x v="582"/>
    </i>
    <i r="2">
      <x v="586"/>
    </i>
    <i r="2">
      <x v="587"/>
    </i>
    <i r="2">
      <x v="589"/>
    </i>
    <i r="2">
      <x v="590"/>
    </i>
    <i r="2">
      <x v="591"/>
    </i>
    <i r="2">
      <x v="592"/>
    </i>
    <i r="2">
      <x v="593"/>
    </i>
    <i r="2">
      <x v="594"/>
    </i>
    <i r="2">
      <x v="595"/>
    </i>
    <i r="2">
      <x v="596"/>
    </i>
    <i r="2">
      <x v="597"/>
    </i>
    <i r="2">
      <x v="598"/>
    </i>
    <i r="2">
      <x v="599"/>
    </i>
    <i r="2">
      <x v="601"/>
    </i>
    <i r="2">
      <x v="602"/>
    </i>
    <i r="2">
      <x v="603"/>
    </i>
    <i r="2">
      <x v="607"/>
    </i>
    <i r="2">
      <x v="612"/>
    </i>
    <i r="2">
      <x v="613"/>
    </i>
    <i r="2">
      <x v="614"/>
    </i>
    <i r="2">
      <x v="615"/>
    </i>
    <i r="2">
      <x v="616"/>
    </i>
    <i r="2">
      <x v="618"/>
    </i>
    <i r="2">
      <x v="619"/>
    </i>
    <i r="2">
      <x v="620"/>
    </i>
    <i r="2">
      <x v="621"/>
    </i>
    <i r="2">
      <x v="622"/>
    </i>
    <i r="2">
      <x v="623"/>
    </i>
    <i r="2">
      <x v="624"/>
    </i>
    <i r="2">
      <x v="625"/>
    </i>
    <i r="2">
      <x v="627"/>
    </i>
    <i r="2">
      <x v="628"/>
    </i>
    <i r="2">
      <x v="629"/>
    </i>
    <i r="2">
      <x v="630"/>
    </i>
    <i r="2">
      <x v="631"/>
    </i>
    <i r="2">
      <x v="632"/>
    </i>
    <i r="2">
      <x v="633"/>
    </i>
    <i r="2">
      <x v="635"/>
    </i>
    <i r="2">
      <x v="636"/>
    </i>
    <i r="2">
      <x v="638"/>
    </i>
    <i r="2">
      <x v="640"/>
    </i>
    <i r="2">
      <x v="641"/>
    </i>
    <i r="2">
      <x v="644"/>
    </i>
    <i r="2">
      <x v="645"/>
    </i>
    <i r="2">
      <x v="646"/>
    </i>
    <i r="2">
      <x v="647"/>
    </i>
    <i r="2">
      <x v="648"/>
    </i>
    <i r="2">
      <x v="649"/>
    </i>
    <i r="2">
      <x v="650"/>
    </i>
    <i r="2">
      <x v="651"/>
    </i>
    <i r="2">
      <x v="652"/>
    </i>
    <i r="2">
      <x v="653"/>
    </i>
    <i r="2">
      <x v="654"/>
    </i>
    <i r="2">
      <x v="656"/>
    </i>
    <i r="2">
      <x v="665"/>
    </i>
    <i r="2">
      <x v="668"/>
    </i>
    <i r="2">
      <x v="669"/>
    </i>
    <i r="2">
      <x v="671"/>
    </i>
    <i r="2">
      <x v="672"/>
    </i>
    <i r="2">
      <x v="673"/>
    </i>
    <i r="2">
      <x v="674"/>
    </i>
    <i r="2">
      <x v="676"/>
    </i>
    <i r="2">
      <x v="677"/>
    </i>
    <i r="2">
      <x v="678"/>
    </i>
    <i r="2">
      <x v="679"/>
    </i>
    <i r="2">
      <x v="680"/>
    </i>
    <i r="2">
      <x v="681"/>
    </i>
    <i r="2">
      <x v="683"/>
    </i>
    <i r="2">
      <x v="686"/>
    </i>
    <i r="2">
      <x v="687"/>
    </i>
    <i r="2">
      <x v="688"/>
    </i>
    <i r="2">
      <x v="689"/>
    </i>
    <i r="2">
      <x v="690"/>
    </i>
    <i r="2">
      <x v="696"/>
    </i>
    <i r="2">
      <x v="698"/>
    </i>
    <i r="2">
      <x v="699"/>
    </i>
    <i r="2">
      <x v="700"/>
    </i>
    <i r="2">
      <x v="701"/>
    </i>
    <i r="2">
      <x v="706"/>
    </i>
    <i r="2">
      <x v="707"/>
    </i>
    <i r="2">
      <x v="708"/>
    </i>
    <i r="2">
      <x v="709"/>
    </i>
    <i r="2">
      <x v="710"/>
    </i>
    <i r="2">
      <x v="711"/>
    </i>
    <i r="2">
      <x v="712"/>
    </i>
    <i r="2">
      <x v="713"/>
    </i>
    <i r="2">
      <x v="714"/>
    </i>
    <i r="2">
      <x v="715"/>
    </i>
    <i r="2">
      <x v="716"/>
    </i>
    <i r="2">
      <x v="717"/>
    </i>
    <i r="2">
      <x v="718"/>
    </i>
    <i r="2">
      <x v="720"/>
    </i>
    <i r="2">
      <x v="721"/>
    </i>
    <i r="2">
      <x v="722"/>
    </i>
    <i r="2">
      <x v="723"/>
    </i>
    <i r="2">
      <x v="724"/>
    </i>
    <i r="2">
      <x v="725"/>
    </i>
    <i r="2">
      <x v="726"/>
    </i>
    <i r="2">
      <x v="731"/>
    </i>
    <i r="2">
      <x v="732"/>
    </i>
    <i r="2">
      <x v="734"/>
    </i>
    <i r="2">
      <x v="735"/>
    </i>
    <i r="2">
      <x v="737"/>
    </i>
    <i r="2">
      <x v="738"/>
    </i>
    <i r="2">
      <x v="739"/>
    </i>
    <i r="2">
      <x v="740"/>
    </i>
    <i r="2">
      <x v="741"/>
    </i>
    <i r="2">
      <x v="742"/>
    </i>
    <i r="2">
      <x v="745"/>
    </i>
    <i r="2">
      <x v="746"/>
    </i>
    <i r="2">
      <x v="752"/>
    </i>
    <i r="2">
      <x v="753"/>
    </i>
    <i r="1">
      <x v="3"/>
    </i>
    <i t="grand">
      <x/>
    </i>
    <i/>
  </rowItems>
  <colItems count="1">
    <i/>
  </colItems>
  <dataFields count="1">
    <dataField name="Count of Bldg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61"/>
  <sheetViews>
    <sheetView zoomScalePageLayoutView="0" workbookViewId="0" topLeftCell="A1">
      <selection activeCell="B5" sqref="B5"/>
    </sheetView>
  </sheetViews>
  <sheetFormatPr defaultColWidth="8.88671875" defaultRowHeight="15"/>
  <cols>
    <col min="1" max="1" width="14.21484375" style="0" bestFit="1" customWidth="1"/>
    <col min="2" max="2" width="12.77734375" style="0" bestFit="1" customWidth="1"/>
    <col min="3" max="3" width="58.6640625" style="0" bestFit="1" customWidth="1"/>
    <col min="4" max="4" width="12.77734375" style="0" bestFit="1" customWidth="1"/>
  </cols>
  <sheetData>
    <row r="3" spans="1:4" ht="15">
      <c r="A3" s="2" t="s">
        <v>7</v>
      </c>
      <c r="B3" s="2" t="s">
        <v>3</v>
      </c>
      <c r="C3" s="2" t="s">
        <v>2</v>
      </c>
      <c r="D3" t="s">
        <v>752</v>
      </c>
    </row>
    <row r="4" spans="1:4" ht="15">
      <c r="A4" t="s">
        <v>8</v>
      </c>
      <c r="D4" s="3">
        <v>301</v>
      </c>
    </row>
    <row r="5" spans="2:4" ht="15">
      <c r="B5" t="s">
        <v>8</v>
      </c>
      <c r="D5" s="3">
        <v>7</v>
      </c>
    </row>
    <row r="6" spans="2:4" ht="15">
      <c r="B6" t="s">
        <v>753</v>
      </c>
      <c r="D6" s="3">
        <v>14</v>
      </c>
    </row>
    <row r="7" spans="3:4" ht="15">
      <c r="C7" t="s">
        <v>29</v>
      </c>
      <c r="D7" s="3">
        <v>1</v>
      </c>
    </row>
    <row r="8" spans="3:4" ht="15">
      <c r="C8" t="s">
        <v>30</v>
      </c>
      <c r="D8" s="3">
        <v>1</v>
      </c>
    </row>
    <row r="9" spans="3:4" ht="15">
      <c r="C9" t="s">
        <v>85</v>
      </c>
      <c r="D9" s="3">
        <v>1</v>
      </c>
    </row>
    <row r="10" spans="3:4" ht="15">
      <c r="C10" t="s">
        <v>114</v>
      </c>
      <c r="D10" s="3">
        <v>1</v>
      </c>
    </row>
    <row r="11" spans="3:4" ht="15">
      <c r="C11" t="s">
        <v>141</v>
      </c>
      <c r="D11" s="3">
        <v>1</v>
      </c>
    </row>
    <row r="12" spans="3:4" ht="15">
      <c r="C12" t="s">
        <v>142</v>
      </c>
      <c r="D12" s="3">
        <v>1</v>
      </c>
    </row>
    <row r="13" spans="3:4" ht="15">
      <c r="C13" t="s">
        <v>143</v>
      </c>
      <c r="D13" s="3">
        <v>1</v>
      </c>
    </row>
    <row r="14" spans="3:4" ht="15">
      <c r="C14" t="s">
        <v>156</v>
      </c>
      <c r="D14" s="3">
        <v>1</v>
      </c>
    </row>
    <row r="15" spans="3:4" ht="15">
      <c r="C15" t="s">
        <v>196</v>
      </c>
      <c r="D15" s="3">
        <v>1</v>
      </c>
    </row>
    <row r="16" spans="3:4" ht="15">
      <c r="C16" t="s">
        <v>197</v>
      </c>
      <c r="D16" s="3">
        <v>1</v>
      </c>
    </row>
    <row r="17" spans="3:4" ht="15">
      <c r="C17" t="s">
        <v>201</v>
      </c>
      <c r="D17" s="3">
        <v>1</v>
      </c>
    </row>
    <row r="18" spans="3:4" ht="15">
      <c r="C18" t="s">
        <v>202</v>
      </c>
      <c r="D18" s="3">
        <v>1</v>
      </c>
    </row>
    <row r="19" spans="3:4" ht="15">
      <c r="C19" t="s">
        <v>211</v>
      </c>
      <c r="D19" s="3">
        <v>1</v>
      </c>
    </row>
    <row r="20" spans="3:4" ht="15">
      <c r="C20" t="s">
        <v>263</v>
      </c>
      <c r="D20" s="3">
        <v>1</v>
      </c>
    </row>
    <row r="21" spans="2:4" ht="15">
      <c r="B21" t="s">
        <v>9</v>
      </c>
      <c r="D21" s="3">
        <v>280</v>
      </c>
    </row>
    <row r="22" spans="3:4" ht="15">
      <c r="C22" t="s">
        <v>11</v>
      </c>
      <c r="D22" s="3">
        <v>1</v>
      </c>
    </row>
    <row r="23" spans="3:4" ht="15">
      <c r="C23" t="s">
        <v>12</v>
      </c>
      <c r="D23" s="3">
        <v>1</v>
      </c>
    </row>
    <row r="24" spans="3:4" ht="15">
      <c r="C24" t="s">
        <v>13</v>
      </c>
      <c r="D24" s="3">
        <v>1</v>
      </c>
    </row>
    <row r="25" spans="3:4" ht="15">
      <c r="C25" t="s">
        <v>14</v>
      </c>
      <c r="D25" s="3">
        <v>1</v>
      </c>
    </row>
    <row r="26" spans="3:4" ht="15">
      <c r="C26" t="s">
        <v>15</v>
      </c>
      <c r="D26" s="3">
        <v>1</v>
      </c>
    </row>
    <row r="27" spans="3:4" ht="15">
      <c r="C27" t="s">
        <v>16</v>
      </c>
      <c r="D27" s="3">
        <v>1</v>
      </c>
    </row>
    <row r="28" spans="3:4" ht="15">
      <c r="C28" t="s">
        <v>17</v>
      </c>
      <c r="D28" s="3">
        <v>1</v>
      </c>
    </row>
    <row r="29" spans="3:4" ht="15">
      <c r="C29" t="s">
        <v>18</v>
      </c>
      <c r="D29" s="3">
        <v>1</v>
      </c>
    </row>
    <row r="30" spans="3:4" ht="15">
      <c r="C30" t="s">
        <v>19</v>
      </c>
      <c r="D30" s="3">
        <v>1</v>
      </c>
    </row>
    <row r="31" spans="3:4" ht="15">
      <c r="C31" t="s">
        <v>20</v>
      </c>
      <c r="D31" s="3">
        <v>1</v>
      </c>
    </row>
    <row r="32" spans="3:4" ht="15">
      <c r="C32" t="s">
        <v>21</v>
      </c>
      <c r="D32" s="3">
        <v>1</v>
      </c>
    </row>
    <row r="33" spans="3:4" ht="15">
      <c r="C33" t="s">
        <v>22</v>
      </c>
      <c r="D33" s="3">
        <v>1</v>
      </c>
    </row>
    <row r="34" spans="3:4" ht="15">
      <c r="C34" t="s">
        <v>23</v>
      </c>
      <c r="D34" s="3">
        <v>1</v>
      </c>
    </row>
    <row r="35" spans="3:4" ht="15">
      <c r="C35" t="s">
        <v>24</v>
      </c>
      <c r="D35" s="3">
        <v>1</v>
      </c>
    </row>
    <row r="36" spans="3:4" ht="15">
      <c r="C36" t="s">
        <v>25</v>
      </c>
      <c r="D36" s="3">
        <v>1</v>
      </c>
    </row>
    <row r="37" spans="3:4" ht="15">
      <c r="C37" t="s">
        <v>26</v>
      </c>
      <c r="D37" s="3">
        <v>1</v>
      </c>
    </row>
    <row r="38" spans="3:4" ht="15">
      <c r="C38" t="s">
        <v>27</v>
      </c>
      <c r="D38" s="3">
        <v>1</v>
      </c>
    </row>
    <row r="39" spans="3:4" ht="15">
      <c r="C39" t="s">
        <v>28</v>
      </c>
      <c r="D39" s="3">
        <v>1</v>
      </c>
    </row>
    <row r="40" spans="3:4" ht="15">
      <c r="C40" t="s">
        <v>31</v>
      </c>
      <c r="D40" s="3">
        <v>1</v>
      </c>
    </row>
    <row r="41" spans="3:4" ht="15">
      <c r="C41" t="s">
        <v>32</v>
      </c>
      <c r="D41" s="3">
        <v>3</v>
      </c>
    </row>
    <row r="42" spans="3:4" ht="15">
      <c r="C42" t="s">
        <v>33</v>
      </c>
      <c r="D42" s="3">
        <v>1</v>
      </c>
    </row>
    <row r="43" spans="3:4" ht="15">
      <c r="C43" t="s">
        <v>34</v>
      </c>
      <c r="D43" s="3">
        <v>2</v>
      </c>
    </row>
    <row r="44" spans="3:4" ht="15">
      <c r="C44" t="s">
        <v>35</v>
      </c>
      <c r="D44" s="3">
        <v>16</v>
      </c>
    </row>
    <row r="45" spans="3:4" ht="15">
      <c r="C45" t="s">
        <v>36</v>
      </c>
      <c r="D45" s="3">
        <v>5</v>
      </c>
    </row>
    <row r="46" spans="3:4" ht="15">
      <c r="C46" t="s">
        <v>37</v>
      </c>
      <c r="D46" s="3">
        <v>1</v>
      </c>
    </row>
    <row r="47" spans="3:4" ht="15">
      <c r="C47" t="s">
        <v>38</v>
      </c>
      <c r="D47" s="3">
        <v>1</v>
      </c>
    </row>
    <row r="48" spans="3:4" ht="15">
      <c r="C48" t="s">
        <v>39</v>
      </c>
      <c r="D48" s="3">
        <v>1</v>
      </c>
    </row>
    <row r="49" spans="3:4" ht="15">
      <c r="C49" t="s">
        <v>40</v>
      </c>
      <c r="D49" s="3">
        <v>1</v>
      </c>
    </row>
    <row r="50" spans="3:4" ht="15">
      <c r="C50" t="s">
        <v>41</v>
      </c>
      <c r="D50" s="3">
        <v>1</v>
      </c>
    </row>
    <row r="51" spans="3:4" ht="15">
      <c r="C51" t="s">
        <v>42</v>
      </c>
      <c r="D51" s="3">
        <v>1</v>
      </c>
    </row>
    <row r="52" spans="3:4" ht="15">
      <c r="C52" t="s">
        <v>43</v>
      </c>
      <c r="D52" s="3">
        <v>1</v>
      </c>
    </row>
    <row r="53" spans="3:4" ht="15">
      <c r="C53" t="s">
        <v>44</v>
      </c>
      <c r="D53" s="3">
        <v>1</v>
      </c>
    </row>
    <row r="54" spans="3:4" ht="15">
      <c r="C54" t="s">
        <v>45</v>
      </c>
      <c r="D54" s="3">
        <v>1</v>
      </c>
    </row>
    <row r="55" spans="3:4" ht="15">
      <c r="C55" t="s">
        <v>46</v>
      </c>
      <c r="D55" s="3">
        <v>1</v>
      </c>
    </row>
    <row r="56" spans="3:4" ht="15">
      <c r="C56" t="s">
        <v>47</v>
      </c>
      <c r="D56" s="3">
        <v>1</v>
      </c>
    </row>
    <row r="57" spans="3:4" ht="15">
      <c r="C57" t="s">
        <v>48</v>
      </c>
      <c r="D57" s="3">
        <v>1</v>
      </c>
    </row>
    <row r="58" spans="3:4" ht="15">
      <c r="C58" t="s">
        <v>49</v>
      </c>
      <c r="D58" s="3">
        <v>1</v>
      </c>
    </row>
    <row r="59" spans="3:4" ht="15">
      <c r="C59" t="s">
        <v>50</v>
      </c>
      <c r="D59" s="3">
        <v>1</v>
      </c>
    </row>
    <row r="60" spans="3:4" ht="15">
      <c r="C60" t="s">
        <v>51</v>
      </c>
      <c r="D60" s="3">
        <v>1</v>
      </c>
    </row>
    <row r="61" spans="3:4" ht="15">
      <c r="C61" t="s">
        <v>52</v>
      </c>
      <c r="D61" s="3">
        <v>1</v>
      </c>
    </row>
    <row r="62" spans="3:4" ht="15">
      <c r="C62" t="s">
        <v>53</v>
      </c>
      <c r="D62" s="3">
        <v>1</v>
      </c>
    </row>
    <row r="63" spans="3:4" ht="15">
      <c r="C63" t="s">
        <v>54</v>
      </c>
      <c r="D63" s="3">
        <v>1</v>
      </c>
    </row>
    <row r="64" spans="3:4" ht="15">
      <c r="C64" t="s">
        <v>55</v>
      </c>
      <c r="D64" s="3">
        <v>1</v>
      </c>
    </row>
    <row r="65" spans="3:4" ht="15">
      <c r="C65" t="s">
        <v>56</v>
      </c>
      <c r="D65" s="3">
        <v>1</v>
      </c>
    </row>
    <row r="66" spans="3:4" ht="15">
      <c r="C66" t="s">
        <v>57</v>
      </c>
      <c r="D66" s="3">
        <v>1</v>
      </c>
    </row>
    <row r="67" spans="3:4" ht="15">
      <c r="C67" t="s">
        <v>58</v>
      </c>
      <c r="D67" s="3">
        <v>1</v>
      </c>
    </row>
    <row r="68" spans="3:4" ht="15">
      <c r="C68" t="s">
        <v>59</v>
      </c>
      <c r="D68" s="3">
        <v>1</v>
      </c>
    </row>
    <row r="69" spans="3:4" ht="15">
      <c r="C69" t="s">
        <v>60</v>
      </c>
      <c r="D69" s="3">
        <v>1</v>
      </c>
    </row>
    <row r="70" spans="3:4" ht="15">
      <c r="C70" t="s">
        <v>61</v>
      </c>
      <c r="D70" s="3">
        <v>1</v>
      </c>
    </row>
    <row r="71" spans="3:4" ht="15">
      <c r="C71" t="s">
        <v>62</v>
      </c>
      <c r="D71" s="3">
        <v>1</v>
      </c>
    </row>
    <row r="72" spans="3:4" ht="15">
      <c r="C72" t="s">
        <v>63</v>
      </c>
      <c r="D72" s="3">
        <v>1</v>
      </c>
    </row>
    <row r="73" spans="3:4" ht="15">
      <c r="C73" t="s">
        <v>64</v>
      </c>
      <c r="D73" s="3">
        <v>1</v>
      </c>
    </row>
    <row r="74" spans="3:4" ht="15">
      <c r="C74" t="s">
        <v>65</v>
      </c>
      <c r="D74" s="3">
        <v>1</v>
      </c>
    </row>
    <row r="75" spans="3:4" ht="15">
      <c r="C75" t="s">
        <v>66</v>
      </c>
      <c r="D75" s="3">
        <v>1</v>
      </c>
    </row>
    <row r="76" spans="3:4" ht="15">
      <c r="C76" t="s">
        <v>67</v>
      </c>
      <c r="D76" s="3">
        <v>1</v>
      </c>
    </row>
    <row r="77" spans="3:4" ht="15">
      <c r="C77" t="s">
        <v>68</v>
      </c>
      <c r="D77" s="3">
        <v>1</v>
      </c>
    </row>
    <row r="78" spans="3:4" ht="15">
      <c r="C78" t="s">
        <v>69</v>
      </c>
      <c r="D78" s="3">
        <v>1</v>
      </c>
    </row>
    <row r="79" spans="3:4" ht="15">
      <c r="C79" t="s">
        <v>70</v>
      </c>
      <c r="D79" s="3">
        <v>1</v>
      </c>
    </row>
    <row r="80" spans="3:4" ht="15">
      <c r="C80" t="s">
        <v>71</v>
      </c>
      <c r="D80" s="3">
        <v>1</v>
      </c>
    </row>
    <row r="81" spans="3:4" ht="15">
      <c r="C81" t="s">
        <v>72</v>
      </c>
      <c r="D81" s="3">
        <v>1</v>
      </c>
    </row>
    <row r="82" spans="3:4" ht="15">
      <c r="C82" t="s">
        <v>73</v>
      </c>
      <c r="D82" s="3">
        <v>1</v>
      </c>
    </row>
    <row r="83" spans="3:4" ht="15">
      <c r="C83" t="s">
        <v>74</v>
      </c>
      <c r="D83" s="3">
        <v>3</v>
      </c>
    </row>
    <row r="84" spans="3:4" ht="15">
      <c r="C84" t="s">
        <v>75</v>
      </c>
      <c r="D84" s="3">
        <v>2</v>
      </c>
    </row>
    <row r="85" spans="3:4" ht="15">
      <c r="C85" t="s">
        <v>76</v>
      </c>
      <c r="D85" s="3">
        <v>1</v>
      </c>
    </row>
    <row r="86" spans="3:4" ht="15">
      <c r="C86" t="s">
        <v>77</v>
      </c>
      <c r="D86" s="3">
        <v>1</v>
      </c>
    </row>
    <row r="87" spans="3:4" ht="15">
      <c r="C87" t="s">
        <v>78</v>
      </c>
      <c r="D87" s="3">
        <v>1</v>
      </c>
    </row>
    <row r="88" spans="3:4" ht="15">
      <c r="C88" t="s">
        <v>79</v>
      </c>
      <c r="D88" s="3">
        <v>1</v>
      </c>
    </row>
    <row r="89" spans="3:4" ht="15">
      <c r="C89" t="s">
        <v>80</v>
      </c>
      <c r="D89" s="3">
        <v>1</v>
      </c>
    </row>
    <row r="90" spans="3:4" ht="15">
      <c r="C90" t="s">
        <v>81</v>
      </c>
      <c r="D90" s="3">
        <v>1</v>
      </c>
    </row>
    <row r="91" spans="3:4" ht="15">
      <c r="C91" t="s">
        <v>82</v>
      </c>
      <c r="D91" s="3">
        <v>1</v>
      </c>
    </row>
    <row r="92" spans="3:4" ht="15">
      <c r="C92" t="s">
        <v>83</v>
      </c>
      <c r="D92" s="3">
        <v>1</v>
      </c>
    </row>
    <row r="93" spans="3:4" ht="15">
      <c r="C93" t="s">
        <v>84</v>
      </c>
      <c r="D93" s="3">
        <v>1</v>
      </c>
    </row>
    <row r="94" spans="3:4" ht="15">
      <c r="C94" t="s">
        <v>86</v>
      </c>
      <c r="D94" s="3">
        <v>1</v>
      </c>
    </row>
    <row r="95" spans="3:4" ht="15">
      <c r="C95" t="s">
        <v>87</v>
      </c>
      <c r="D95" s="3">
        <v>1</v>
      </c>
    </row>
    <row r="96" spans="3:4" ht="15">
      <c r="C96" t="s">
        <v>88</v>
      </c>
      <c r="D96" s="3">
        <v>1</v>
      </c>
    </row>
    <row r="97" spans="3:4" ht="15">
      <c r="C97" t="s">
        <v>89</v>
      </c>
      <c r="D97" s="3">
        <v>1</v>
      </c>
    </row>
    <row r="98" spans="3:4" ht="15">
      <c r="C98" t="s">
        <v>90</v>
      </c>
      <c r="D98" s="3">
        <v>1</v>
      </c>
    </row>
    <row r="99" spans="3:4" ht="15">
      <c r="C99" t="s">
        <v>91</v>
      </c>
      <c r="D99" s="3">
        <v>1</v>
      </c>
    </row>
    <row r="100" spans="3:4" ht="15">
      <c r="C100" t="s">
        <v>92</v>
      </c>
      <c r="D100" s="3">
        <v>1</v>
      </c>
    </row>
    <row r="101" spans="3:4" ht="15">
      <c r="C101" t="s">
        <v>93</v>
      </c>
      <c r="D101" s="3">
        <v>1</v>
      </c>
    </row>
    <row r="102" spans="3:4" ht="15">
      <c r="C102" t="s">
        <v>94</v>
      </c>
      <c r="D102" s="3">
        <v>1</v>
      </c>
    </row>
    <row r="103" spans="3:4" ht="15">
      <c r="C103" t="s">
        <v>95</v>
      </c>
      <c r="D103" s="3">
        <v>1</v>
      </c>
    </row>
    <row r="104" spans="3:4" ht="15">
      <c r="C104" t="s">
        <v>96</v>
      </c>
      <c r="D104" s="3">
        <v>1</v>
      </c>
    </row>
    <row r="105" spans="3:4" ht="15">
      <c r="C105" t="s">
        <v>97</v>
      </c>
      <c r="D105" s="3">
        <v>1</v>
      </c>
    </row>
    <row r="106" spans="3:4" ht="15">
      <c r="C106" t="s">
        <v>98</v>
      </c>
      <c r="D106" s="3">
        <v>1</v>
      </c>
    </row>
    <row r="107" spans="3:4" ht="15">
      <c r="C107" t="s">
        <v>99</v>
      </c>
      <c r="D107" s="3">
        <v>1</v>
      </c>
    </row>
    <row r="108" spans="3:4" ht="15">
      <c r="C108" t="s">
        <v>100</v>
      </c>
      <c r="D108" s="3">
        <v>1</v>
      </c>
    </row>
    <row r="109" spans="3:4" ht="15">
      <c r="C109" t="s">
        <v>101</v>
      </c>
      <c r="D109" s="3">
        <v>1</v>
      </c>
    </row>
    <row r="110" spans="3:4" ht="15">
      <c r="C110" t="s">
        <v>102</v>
      </c>
      <c r="D110" s="3">
        <v>1</v>
      </c>
    </row>
    <row r="111" spans="3:4" ht="15">
      <c r="C111" t="s">
        <v>103</v>
      </c>
      <c r="D111" s="3">
        <v>1</v>
      </c>
    </row>
    <row r="112" spans="3:4" ht="15">
      <c r="C112" t="s">
        <v>104</v>
      </c>
      <c r="D112" s="3">
        <v>1</v>
      </c>
    </row>
    <row r="113" spans="3:4" ht="15">
      <c r="C113" t="s">
        <v>105</v>
      </c>
      <c r="D113" s="3">
        <v>1</v>
      </c>
    </row>
    <row r="114" spans="3:4" ht="15">
      <c r="C114" t="s">
        <v>106</v>
      </c>
      <c r="D114" s="3">
        <v>1</v>
      </c>
    </row>
    <row r="115" spans="3:4" ht="15">
      <c r="C115" t="s">
        <v>107</v>
      </c>
      <c r="D115" s="3">
        <v>1</v>
      </c>
    </row>
    <row r="116" spans="3:4" ht="15">
      <c r="C116" t="s">
        <v>108</v>
      </c>
      <c r="D116" s="3">
        <v>1</v>
      </c>
    </row>
    <row r="117" spans="3:4" ht="15">
      <c r="C117" t="s">
        <v>109</v>
      </c>
      <c r="D117" s="3">
        <v>1</v>
      </c>
    </row>
    <row r="118" spans="3:4" ht="15">
      <c r="C118" t="s">
        <v>110</v>
      </c>
      <c r="D118" s="3">
        <v>1</v>
      </c>
    </row>
    <row r="119" spans="3:4" ht="15">
      <c r="C119" t="s">
        <v>111</v>
      </c>
      <c r="D119" s="3">
        <v>1</v>
      </c>
    </row>
    <row r="120" spans="3:4" ht="15">
      <c r="C120" t="s">
        <v>112</v>
      </c>
      <c r="D120" s="3">
        <v>1</v>
      </c>
    </row>
    <row r="121" spans="3:4" ht="15">
      <c r="C121" t="s">
        <v>113</v>
      </c>
      <c r="D121" s="3">
        <v>1</v>
      </c>
    </row>
    <row r="122" spans="3:4" ht="15">
      <c r="C122" t="s">
        <v>115</v>
      </c>
      <c r="D122" s="3">
        <v>1</v>
      </c>
    </row>
    <row r="123" spans="3:4" ht="15">
      <c r="C123" t="s">
        <v>116</v>
      </c>
      <c r="D123" s="3">
        <v>2</v>
      </c>
    </row>
    <row r="124" spans="3:4" ht="15">
      <c r="C124" t="s">
        <v>117</v>
      </c>
      <c r="D124" s="3">
        <v>1</v>
      </c>
    </row>
    <row r="125" spans="3:4" ht="15">
      <c r="C125" t="s">
        <v>118</v>
      </c>
      <c r="D125" s="3">
        <v>1</v>
      </c>
    </row>
    <row r="126" spans="3:4" ht="15">
      <c r="C126" t="s">
        <v>119</v>
      </c>
      <c r="D126" s="3">
        <v>1</v>
      </c>
    </row>
    <row r="127" spans="3:4" ht="15">
      <c r="C127" t="s">
        <v>120</v>
      </c>
      <c r="D127" s="3">
        <v>1</v>
      </c>
    </row>
    <row r="128" spans="3:4" ht="15">
      <c r="C128" t="s">
        <v>121</v>
      </c>
      <c r="D128" s="3">
        <v>2</v>
      </c>
    </row>
    <row r="129" spans="3:4" ht="15">
      <c r="C129" t="s">
        <v>122</v>
      </c>
      <c r="D129" s="3">
        <v>1</v>
      </c>
    </row>
    <row r="130" spans="3:4" ht="15">
      <c r="C130" t="s">
        <v>123</v>
      </c>
      <c r="D130" s="3">
        <v>1</v>
      </c>
    </row>
    <row r="131" spans="3:4" ht="15">
      <c r="C131" t="s">
        <v>124</v>
      </c>
      <c r="D131" s="3">
        <v>1</v>
      </c>
    </row>
    <row r="132" spans="3:4" ht="15">
      <c r="C132" t="s">
        <v>125</v>
      </c>
      <c r="D132" s="3">
        <v>1</v>
      </c>
    </row>
    <row r="133" spans="3:4" ht="15">
      <c r="C133" t="s">
        <v>126</v>
      </c>
      <c r="D133" s="3">
        <v>1</v>
      </c>
    </row>
    <row r="134" spans="3:4" ht="15">
      <c r="C134" t="s">
        <v>127</v>
      </c>
      <c r="D134" s="3">
        <v>1</v>
      </c>
    </row>
    <row r="135" spans="3:4" ht="15">
      <c r="C135" t="s">
        <v>128</v>
      </c>
      <c r="D135" s="3">
        <v>1</v>
      </c>
    </row>
    <row r="136" spans="3:4" ht="15">
      <c r="C136" t="s">
        <v>129</v>
      </c>
      <c r="D136" s="3">
        <v>1</v>
      </c>
    </row>
    <row r="137" spans="3:4" ht="15">
      <c r="C137" t="s">
        <v>130</v>
      </c>
      <c r="D137" s="3">
        <v>1</v>
      </c>
    </row>
    <row r="138" spans="3:4" ht="15">
      <c r="C138" t="s">
        <v>131</v>
      </c>
      <c r="D138" s="3">
        <v>1</v>
      </c>
    </row>
    <row r="139" spans="3:4" ht="15">
      <c r="C139" t="s">
        <v>132</v>
      </c>
      <c r="D139" s="3">
        <v>1</v>
      </c>
    </row>
    <row r="140" spans="3:4" ht="15">
      <c r="C140" t="s">
        <v>133</v>
      </c>
      <c r="D140" s="3">
        <v>1</v>
      </c>
    </row>
    <row r="141" spans="3:4" ht="15">
      <c r="C141" t="s">
        <v>134</v>
      </c>
      <c r="D141" s="3">
        <v>1</v>
      </c>
    </row>
    <row r="142" spans="3:4" ht="15">
      <c r="C142" t="s">
        <v>135</v>
      </c>
      <c r="D142" s="3">
        <v>1</v>
      </c>
    </row>
    <row r="143" spans="3:4" ht="15">
      <c r="C143" t="s">
        <v>136</v>
      </c>
      <c r="D143" s="3">
        <v>1</v>
      </c>
    </row>
    <row r="144" spans="3:4" ht="15">
      <c r="C144" t="s">
        <v>137</v>
      </c>
      <c r="D144" s="3">
        <v>1</v>
      </c>
    </row>
    <row r="145" spans="3:4" ht="15">
      <c r="C145" t="s">
        <v>138</v>
      </c>
      <c r="D145" s="3">
        <v>1</v>
      </c>
    </row>
    <row r="146" spans="3:4" ht="15">
      <c r="C146" t="s">
        <v>139</v>
      </c>
      <c r="D146" s="3">
        <v>1</v>
      </c>
    </row>
    <row r="147" spans="3:4" ht="15">
      <c r="C147" t="s">
        <v>140</v>
      </c>
      <c r="D147" s="3">
        <v>1</v>
      </c>
    </row>
    <row r="148" spans="3:4" ht="15">
      <c r="C148" t="s">
        <v>144</v>
      </c>
      <c r="D148" s="3">
        <v>1</v>
      </c>
    </row>
    <row r="149" spans="3:4" ht="15">
      <c r="C149" t="s">
        <v>145</v>
      </c>
      <c r="D149" s="3">
        <v>1</v>
      </c>
    </row>
    <row r="150" spans="3:4" ht="15">
      <c r="C150" t="s">
        <v>146</v>
      </c>
      <c r="D150" s="3">
        <v>3</v>
      </c>
    </row>
    <row r="151" spans="3:4" ht="15">
      <c r="C151" t="s">
        <v>147</v>
      </c>
      <c r="D151" s="3">
        <v>1</v>
      </c>
    </row>
    <row r="152" spans="3:4" ht="15">
      <c r="C152" t="s">
        <v>148</v>
      </c>
      <c r="D152" s="3">
        <v>1</v>
      </c>
    </row>
    <row r="153" spans="3:4" ht="15">
      <c r="C153" t="s">
        <v>149</v>
      </c>
      <c r="D153" s="3">
        <v>1</v>
      </c>
    </row>
    <row r="154" spans="3:4" ht="15">
      <c r="C154" t="s">
        <v>150</v>
      </c>
      <c r="D154" s="3">
        <v>1</v>
      </c>
    </row>
    <row r="155" spans="3:4" ht="15">
      <c r="C155" t="s">
        <v>151</v>
      </c>
      <c r="D155" s="3">
        <v>1</v>
      </c>
    </row>
    <row r="156" spans="3:4" ht="15">
      <c r="C156" t="s">
        <v>152</v>
      </c>
      <c r="D156" s="3">
        <v>1</v>
      </c>
    </row>
    <row r="157" spans="3:4" ht="15">
      <c r="C157" t="s">
        <v>153</v>
      </c>
      <c r="D157" s="3">
        <v>3</v>
      </c>
    </row>
    <row r="158" spans="3:4" ht="15">
      <c r="C158" t="s">
        <v>154</v>
      </c>
      <c r="D158" s="3">
        <v>1</v>
      </c>
    </row>
    <row r="159" spans="3:4" ht="15">
      <c r="C159" t="s">
        <v>155</v>
      </c>
      <c r="D159" s="3">
        <v>1</v>
      </c>
    </row>
    <row r="160" spans="3:4" ht="15">
      <c r="C160" t="s">
        <v>157</v>
      </c>
      <c r="D160" s="3">
        <v>1</v>
      </c>
    </row>
    <row r="161" spans="3:4" ht="15">
      <c r="C161" t="s">
        <v>158</v>
      </c>
      <c r="D161" s="3">
        <v>1</v>
      </c>
    </row>
    <row r="162" spans="3:4" ht="15">
      <c r="C162" t="s">
        <v>159</v>
      </c>
      <c r="D162" s="3">
        <v>1</v>
      </c>
    </row>
    <row r="163" spans="3:4" ht="15">
      <c r="C163" t="s">
        <v>160</v>
      </c>
      <c r="D163" s="3">
        <v>1</v>
      </c>
    </row>
    <row r="164" spans="3:4" ht="15">
      <c r="C164" t="s">
        <v>161</v>
      </c>
      <c r="D164" s="3">
        <v>1</v>
      </c>
    </row>
    <row r="165" spans="3:4" ht="15">
      <c r="C165" t="s">
        <v>162</v>
      </c>
      <c r="D165" s="3">
        <v>1</v>
      </c>
    </row>
    <row r="166" spans="3:4" ht="15">
      <c r="C166" t="s">
        <v>163</v>
      </c>
      <c r="D166" s="3">
        <v>1</v>
      </c>
    </row>
    <row r="167" spans="3:4" ht="15">
      <c r="C167" t="s">
        <v>164</v>
      </c>
      <c r="D167" s="3">
        <v>1</v>
      </c>
    </row>
    <row r="168" spans="3:4" ht="15">
      <c r="C168" t="s">
        <v>165</v>
      </c>
      <c r="D168" s="3">
        <v>1</v>
      </c>
    </row>
    <row r="169" spans="3:4" ht="15">
      <c r="C169" t="s">
        <v>166</v>
      </c>
      <c r="D169" s="3">
        <v>1</v>
      </c>
    </row>
    <row r="170" spans="3:4" ht="15">
      <c r="C170" t="s">
        <v>167</v>
      </c>
      <c r="D170" s="3">
        <v>1</v>
      </c>
    </row>
    <row r="171" spans="3:4" ht="15">
      <c r="C171" t="s">
        <v>168</v>
      </c>
      <c r="D171" s="3">
        <v>1</v>
      </c>
    </row>
    <row r="172" spans="3:4" ht="15">
      <c r="C172" t="s">
        <v>169</v>
      </c>
      <c r="D172" s="3">
        <v>1</v>
      </c>
    </row>
    <row r="173" spans="3:4" ht="15">
      <c r="C173" t="s">
        <v>170</v>
      </c>
      <c r="D173" s="3">
        <v>1</v>
      </c>
    </row>
    <row r="174" spans="3:4" ht="15">
      <c r="C174" t="s">
        <v>171</v>
      </c>
      <c r="D174" s="3">
        <v>1</v>
      </c>
    </row>
    <row r="175" spans="3:4" ht="15">
      <c r="C175" t="s">
        <v>172</v>
      </c>
      <c r="D175" s="3">
        <v>1</v>
      </c>
    </row>
    <row r="176" spans="3:4" ht="15">
      <c r="C176" t="s">
        <v>173</v>
      </c>
      <c r="D176" s="3">
        <v>1</v>
      </c>
    </row>
    <row r="177" spans="3:4" ht="15">
      <c r="C177" t="s">
        <v>174</v>
      </c>
      <c r="D177" s="3">
        <v>1</v>
      </c>
    </row>
    <row r="178" spans="3:4" ht="15">
      <c r="C178" t="s">
        <v>175</v>
      </c>
      <c r="D178" s="3">
        <v>1</v>
      </c>
    </row>
    <row r="179" spans="3:4" ht="15">
      <c r="C179" t="s">
        <v>176</v>
      </c>
      <c r="D179" s="3">
        <v>1</v>
      </c>
    </row>
    <row r="180" spans="3:4" ht="15">
      <c r="C180" t="s">
        <v>177</v>
      </c>
      <c r="D180" s="3">
        <v>1</v>
      </c>
    </row>
    <row r="181" spans="3:4" ht="15">
      <c r="C181" t="s">
        <v>178</v>
      </c>
      <c r="D181" s="3">
        <v>1</v>
      </c>
    </row>
    <row r="182" spans="3:4" ht="15">
      <c r="C182" t="s">
        <v>179</v>
      </c>
      <c r="D182" s="3">
        <v>1</v>
      </c>
    </row>
    <row r="183" spans="3:4" ht="15">
      <c r="C183" t="s">
        <v>180</v>
      </c>
      <c r="D183" s="3">
        <v>1</v>
      </c>
    </row>
    <row r="184" spans="3:4" ht="15">
      <c r="C184" t="s">
        <v>181</v>
      </c>
      <c r="D184" s="3">
        <v>1</v>
      </c>
    </row>
    <row r="185" spans="3:4" ht="15">
      <c r="C185" t="s">
        <v>182</v>
      </c>
      <c r="D185" s="3">
        <v>1</v>
      </c>
    </row>
    <row r="186" spans="3:4" ht="15">
      <c r="C186" t="s">
        <v>183</v>
      </c>
      <c r="D186" s="3">
        <v>1</v>
      </c>
    </row>
    <row r="187" spans="3:4" ht="15">
      <c r="C187" t="s">
        <v>184</v>
      </c>
      <c r="D187" s="3">
        <v>1</v>
      </c>
    </row>
    <row r="188" spans="3:4" ht="15">
      <c r="C188" t="s">
        <v>185</v>
      </c>
      <c r="D188" s="3">
        <v>1</v>
      </c>
    </row>
    <row r="189" spans="3:4" ht="15">
      <c r="C189" t="s">
        <v>186</v>
      </c>
      <c r="D189" s="3">
        <v>1</v>
      </c>
    </row>
    <row r="190" spans="3:4" ht="15">
      <c r="C190" t="s">
        <v>187</v>
      </c>
      <c r="D190" s="3">
        <v>1</v>
      </c>
    </row>
    <row r="191" spans="3:4" ht="15">
      <c r="C191" t="s">
        <v>188</v>
      </c>
      <c r="D191" s="3">
        <v>1</v>
      </c>
    </row>
    <row r="192" spans="3:4" ht="15">
      <c r="C192" t="s">
        <v>189</v>
      </c>
      <c r="D192" s="3">
        <v>1</v>
      </c>
    </row>
    <row r="193" spans="3:4" ht="15">
      <c r="C193" t="s">
        <v>190</v>
      </c>
      <c r="D193" s="3">
        <v>1</v>
      </c>
    </row>
    <row r="194" spans="3:4" ht="15">
      <c r="C194" t="s">
        <v>191</v>
      </c>
      <c r="D194" s="3">
        <v>1</v>
      </c>
    </row>
    <row r="195" spans="3:4" ht="15">
      <c r="C195" t="s">
        <v>192</v>
      </c>
      <c r="D195" s="3">
        <v>1</v>
      </c>
    </row>
    <row r="196" spans="3:4" ht="15">
      <c r="C196" t="s">
        <v>193</v>
      </c>
      <c r="D196" s="3">
        <v>1</v>
      </c>
    </row>
    <row r="197" spans="3:4" ht="15">
      <c r="C197" t="s">
        <v>194</v>
      </c>
      <c r="D197" s="3">
        <v>1</v>
      </c>
    </row>
    <row r="198" spans="3:4" ht="15">
      <c r="C198" t="s">
        <v>195</v>
      </c>
      <c r="D198" s="3">
        <v>1</v>
      </c>
    </row>
    <row r="199" spans="3:4" ht="15">
      <c r="C199" t="s">
        <v>198</v>
      </c>
      <c r="D199" s="3">
        <v>1</v>
      </c>
    </row>
    <row r="200" spans="3:4" ht="15">
      <c r="C200" t="s">
        <v>199</v>
      </c>
      <c r="D200" s="3">
        <v>1</v>
      </c>
    </row>
    <row r="201" spans="3:4" ht="15">
      <c r="C201" t="s">
        <v>200</v>
      </c>
      <c r="D201" s="3">
        <v>1</v>
      </c>
    </row>
    <row r="202" spans="3:4" ht="15">
      <c r="C202" t="s">
        <v>203</v>
      </c>
      <c r="D202" s="3">
        <v>1</v>
      </c>
    </row>
    <row r="203" spans="3:4" ht="15">
      <c r="C203" t="s">
        <v>204</v>
      </c>
      <c r="D203" s="3">
        <v>1</v>
      </c>
    </row>
    <row r="204" spans="3:4" ht="15">
      <c r="C204" t="s">
        <v>205</v>
      </c>
      <c r="D204" s="3">
        <v>1</v>
      </c>
    </row>
    <row r="205" spans="3:4" ht="15">
      <c r="C205" t="s">
        <v>206</v>
      </c>
      <c r="D205" s="3">
        <v>1</v>
      </c>
    </row>
    <row r="206" spans="3:4" ht="15">
      <c r="C206" t="s">
        <v>207</v>
      </c>
      <c r="D206" s="3">
        <v>1</v>
      </c>
    </row>
    <row r="207" spans="3:4" ht="15">
      <c r="C207" t="s">
        <v>208</v>
      </c>
      <c r="D207" s="3">
        <v>1</v>
      </c>
    </row>
    <row r="208" spans="3:4" ht="15">
      <c r="C208" t="s">
        <v>209</v>
      </c>
      <c r="D208" s="3">
        <v>1</v>
      </c>
    </row>
    <row r="209" spans="3:4" ht="15">
      <c r="C209" t="s">
        <v>210</v>
      </c>
      <c r="D209" s="3">
        <v>1</v>
      </c>
    </row>
    <row r="210" spans="3:4" ht="15">
      <c r="C210" t="s">
        <v>212</v>
      </c>
      <c r="D210" s="3">
        <v>1</v>
      </c>
    </row>
    <row r="211" spans="3:4" ht="15">
      <c r="C211" t="s">
        <v>213</v>
      </c>
      <c r="D211" s="3">
        <v>1</v>
      </c>
    </row>
    <row r="212" spans="3:4" ht="15">
      <c r="C212" t="s">
        <v>214</v>
      </c>
      <c r="D212" s="3">
        <v>1</v>
      </c>
    </row>
    <row r="213" spans="3:4" ht="15">
      <c r="C213" t="s">
        <v>215</v>
      </c>
      <c r="D213" s="3">
        <v>1</v>
      </c>
    </row>
    <row r="214" spans="3:4" ht="15">
      <c r="C214" t="s">
        <v>216</v>
      </c>
      <c r="D214" s="3">
        <v>4</v>
      </c>
    </row>
    <row r="215" spans="3:4" ht="15">
      <c r="C215" t="s">
        <v>217</v>
      </c>
      <c r="D215" s="3">
        <v>1</v>
      </c>
    </row>
    <row r="216" spans="3:4" ht="15">
      <c r="C216" t="s">
        <v>218</v>
      </c>
      <c r="D216" s="3">
        <v>1</v>
      </c>
    </row>
    <row r="217" spans="3:4" ht="15">
      <c r="C217" t="s">
        <v>219</v>
      </c>
      <c r="D217" s="3">
        <v>1</v>
      </c>
    </row>
    <row r="218" spans="3:4" ht="15">
      <c r="C218" t="s">
        <v>220</v>
      </c>
      <c r="D218" s="3">
        <v>1</v>
      </c>
    </row>
    <row r="219" spans="3:4" ht="15">
      <c r="C219" t="s">
        <v>221</v>
      </c>
      <c r="D219" s="3">
        <v>1</v>
      </c>
    </row>
    <row r="220" spans="3:4" ht="15">
      <c r="C220" t="s">
        <v>222</v>
      </c>
      <c r="D220" s="3">
        <v>1</v>
      </c>
    </row>
    <row r="221" spans="3:4" ht="15">
      <c r="C221" t="s">
        <v>223</v>
      </c>
      <c r="D221" s="3">
        <v>1</v>
      </c>
    </row>
    <row r="222" spans="3:4" ht="15">
      <c r="C222" t="s">
        <v>224</v>
      </c>
      <c r="D222" s="3">
        <v>1</v>
      </c>
    </row>
    <row r="223" spans="3:4" ht="15">
      <c r="C223" t="s">
        <v>225</v>
      </c>
      <c r="D223" s="3">
        <v>1</v>
      </c>
    </row>
    <row r="224" spans="3:4" ht="15">
      <c r="C224" t="s">
        <v>226</v>
      </c>
      <c r="D224" s="3">
        <v>1</v>
      </c>
    </row>
    <row r="225" spans="3:4" ht="15">
      <c r="C225" t="s">
        <v>227</v>
      </c>
      <c r="D225" s="3">
        <v>1</v>
      </c>
    </row>
    <row r="226" spans="3:4" ht="15">
      <c r="C226" t="s">
        <v>228</v>
      </c>
      <c r="D226" s="3">
        <v>1</v>
      </c>
    </row>
    <row r="227" spans="3:4" ht="15">
      <c r="C227" t="s">
        <v>229</v>
      </c>
      <c r="D227" s="3">
        <v>1</v>
      </c>
    </row>
    <row r="228" spans="3:4" ht="15">
      <c r="C228" t="s">
        <v>230</v>
      </c>
      <c r="D228" s="3">
        <v>1</v>
      </c>
    </row>
    <row r="229" spans="3:4" ht="15">
      <c r="C229" t="s">
        <v>231</v>
      </c>
      <c r="D229" s="3">
        <v>1</v>
      </c>
    </row>
    <row r="230" spans="3:4" ht="15">
      <c r="C230" t="s">
        <v>232</v>
      </c>
      <c r="D230" s="3">
        <v>1</v>
      </c>
    </row>
    <row r="231" spans="3:4" ht="15">
      <c r="C231" t="s">
        <v>233</v>
      </c>
      <c r="D231" s="3">
        <v>1</v>
      </c>
    </row>
    <row r="232" spans="3:4" ht="15">
      <c r="C232" t="s">
        <v>234</v>
      </c>
      <c r="D232" s="3">
        <v>1</v>
      </c>
    </row>
    <row r="233" spans="3:4" ht="15">
      <c r="C233" t="s">
        <v>235</v>
      </c>
      <c r="D233" s="3">
        <v>1</v>
      </c>
    </row>
    <row r="234" spans="3:4" ht="15">
      <c r="C234" t="s">
        <v>236</v>
      </c>
      <c r="D234" s="3">
        <v>1</v>
      </c>
    </row>
    <row r="235" spans="3:4" ht="15">
      <c r="C235" t="s">
        <v>237</v>
      </c>
      <c r="D235" s="3">
        <v>1</v>
      </c>
    </row>
    <row r="236" spans="3:4" ht="15">
      <c r="C236" t="s">
        <v>238</v>
      </c>
      <c r="D236" s="3">
        <v>1</v>
      </c>
    </row>
    <row r="237" spans="3:4" ht="15">
      <c r="C237" t="s">
        <v>239</v>
      </c>
      <c r="D237" s="3">
        <v>1</v>
      </c>
    </row>
    <row r="238" spans="3:4" ht="15">
      <c r="C238" t="s">
        <v>240</v>
      </c>
      <c r="D238" s="3">
        <v>1</v>
      </c>
    </row>
    <row r="239" spans="3:4" ht="15">
      <c r="C239" t="s">
        <v>241</v>
      </c>
      <c r="D239" s="3">
        <v>1</v>
      </c>
    </row>
    <row r="240" spans="3:4" ht="15">
      <c r="C240" t="s">
        <v>242</v>
      </c>
      <c r="D240" s="3">
        <v>1</v>
      </c>
    </row>
    <row r="241" spans="3:4" ht="15">
      <c r="C241" t="s">
        <v>243</v>
      </c>
      <c r="D241" s="3">
        <v>1</v>
      </c>
    </row>
    <row r="242" spans="3:4" ht="15">
      <c r="C242" t="s">
        <v>244</v>
      </c>
      <c r="D242" s="3">
        <v>1</v>
      </c>
    </row>
    <row r="243" spans="3:4" ht="15">
      <c r="C243" t="s">
        <v>245</v>
      </c>
      <c r="D243" s="3">
        <v>1</v>
      </c>
    </row>
    <row r="244" spans="3:4" ht="15">
      <c r="C244" t="s">
        <v>246</v>
      </c>
      <c r="D244" s="3">
        <v>1</v>
      </c>
    </row>
    <row r="245" spans="3:4" ht="15">
      <c r="C245" t="s">
        <v>247</v>
      </c>
      <c r="D245" s="3">
        <v>3</v>
      </c>
    </row>
    <row r="246" spans="3:4" ht="15">
      <c r="C246" t="s">
        <v>248</v>
      </c>
      <c r="D246" s="3">
        <v>1</v>
      </c>
    </row>
    <row r="247" spans="3:4" ht="15">
      <c r="C247" t="s">
        <v>249</v>
      </c>
      <c r="D247" s="3">
        <v>1</v>
      </c>
    </row>
    <row r="248" spans="3:4" ht="15">
      <c r="C248" t="s">
        <v>250</v>
      </c>
      <c r="D248" s="3">
        <v>1</v>
      </c>
    </row>
    <row r="249" spans="3:4" ht="15">
      <c r="C249" t="s">
        <v>251</v>
      </c>
      <c r="D249" s="3">
        <v>1</v>
      </c>
    </row>
    <row r="250" spans="3:4" ht="15">
      <c r="C250" t="s">
        <v>252</v>
      </c>
      <c r="D250" s="3">
        <v>1</v>
      </c>
    </row>
    <row r="251" spans="3:4" ht="15">
      <c r="C251" t="s">
        <v>253</v>
      </c>
      <c r="D251" s="3">
        <v>1</v>
      </c>
    </row>
    <row r="252" spans="3:4" ht="15">
      <c r="C252" t="s">
        <v>254</v>
      </c>
      <c r="D252" s="3">
        <v>1</v>
      </c>
    </row>
    <row r="253" spans="3:4" ht="15">
      <c r="C253" t="s">
        <v>255</v>
      </c>
      <c r="D253" s="3">
        <v>1</v>
      </c>
    </row>
    <row r="254" spans="3:4" ht="15">
      <c r="C254" t="s">
        <v>256</v>
      </c>
      <c r="D254" s="3">
        <v>1</v>
      </c>
    </row>
    <row r="255" spans="3:4" ht="15">
      <c r="C255" t="s">
        <v>257</v>
      </c>
      <c r="D255" s="3">
        <v>1</v>
      </c>
    </row>
    <row r="256" spans="3:4" ht="15">
      <c r="C256" t="s">
        <v>258</v>
      </c>
      <c r="D256" s="3">
        <v>1</v>
      </c>
    </row>
    <row r="257" spans="3:4" ht="15">
      <c r="C257" t="s">
        <v>259</v>
      </c>
      <c r="D257" s="3">
        <v>1</v>
      </c>
    </row>
    <row r="258" spans="3:4" ht="15">
      <c r="C258" t="s">
        <v>260</v>
      </c>
      <c r="D258" s="3">
        <v>1</v>
      </c>
    </row>
    <row r="259" spans="3:4" ht="15">
      <c r="C259" t="s">
        <v>261</v>
      </c>
      <c r="D259" s="3">
        <v>1</v>
      </c>
    </row>
    <row r="260" spans="3:4" ht="15">
      <c r="C260" t="s">
        <v>262</v>
      </c>
      <c r="D260" s="3">
        <v>1</v>
      </c>
    </row>
    <row r="261" spans="3:4" ht="15">
      <c r="C261" t="s">
        <v>264</v>
      </c>
      <c r="D261" s="3">
        <v>1</v>
      </c>
    </row>
    <row r="262" spans="3:4" ht="15">
      <c r="C262" t="s">
        <v>265</v>
      </c>
      <c r="D262" s="3">
        <v>1</v>
      </c>
    </row>
    <row r="263" spans="3:4" ht="15">
      <c r="C263" t="s">
        <v>266</v>
      </c>
      <c r="D263" s="3">
        <v>1</v>
      </c>
    </row>
    <row r="264" spans="3:4" ht="15">
      <c r="C264" t="s">
        <v>267</v>
      </c>
      <c r="D264" s="3">
        <v>1</v>
      </c>
    </row>
    <row r="265" spans="3:4" ht="15">
      <c r="C265" t="s">
        <v>268</v>
      </c>
      <c r="D265" s="3">
        <v>1</v>
      </c>
    </row>
    <row r="266" spans="1:4" ht="15">
      <c r="A266" t="s">
        <v>9</v>
      </c>
      <c r="D266" s="3">
        <v>521</v>
      </c>
    </row>
    <row r="267" spans="2:4" ht="15">
      <c r="B267" t="s">
        <v>8</v>
      </c>
      <c r="D267" s="3">
        <v>2</v>
      </c>
    </row>
    <row r="268" spans="2:4" ht="15">
      <c r="B268" t="s">
        <v>753</v>
      </c>
      <c r="D268" s="3">
        <v>8</v>
      </c>
    </row>
    <row r="269" spans="3:4" ht="15">
      <c r="C269" t="s">
        <v>395</v>
      </c>
      <c r="D269" s="3">
        <v>1</v>
      </c>
    </row>
    <row r="270" spans="3:4" ht="15">
      <c r="C270" t="s">
        <v>416</v>
      </c>
      <c r="D270" s="3">
        <v>1</v>
      </c>
    </row>
    <row r="271" spans="3:4" ht="15">
      <c r="C271" t="s">
        <v>433</v>
      </c>
      <c r="D271" s="3">
        <v>1</v>
      </c>
    </row>
    <row r="272" spans="3:4" ht="15">
      <c r="C272" t="s">
        <v>435</v>
      </c>
      <c r="D272" s="3">
        <v>1</v>
      </c>
    </row>
    <row r="273" spans="3:4" ht="15">
      <c r="C273" t="s">
        <v>563</v>
      </c>
      <c r="D273" s="3">
        <v>1</v>
      </c>
    </row>
    <row r="274" spans="3:4" ht="15">
      <c r="C274" t="s">
        <v>641</v>
      </c>
      <c r="D274" s="3">
        <v>1</v>
      </c>
    </row>
    <row r="275" spans="3:4" ht="15">
      <c r="C275" t="s">
        <v>681</v>
      </c>
      <c r="D275" s="3">
        <v>1</v>
      </c>
    </row>
    <row r="276" spans="3:4" ht="15">
      <c r="C276" t="s">
        <v>737</v>
      </c>
      <c r="D276" s="3">
        <v>1</v>
      </c>
    </row>
    <row r="277" spans="2:4" ht="15">
      <c r="B277" t="s">
        <v>9</v>
      </c>
      <c r="D277" s="3">
        <v>507</v>
      </c>
    </row>
    <row r="278" spans="3:4" ht="15">
      <c r="C278" t="s">
        <v>269</v>
      </c>
      <c r="D278" s="3">
        <v>1</v>
      </c>
    </row>
    <row r="279" spans="3:4" ht="15">
      <c r="C279" t="s">
        <v>270</v>
      </c>
      <c r="D279" s="3">
        <v>1</v>
      </c>
    </row>
    <row r="280" spans="3:4" ht="15">
      <c r="C280" t="s">
        <v>271</v>
      </c>
      <c r="D280" s="3">
        <v>1</v>
      </c>
    </row>
    <row r="281" spans="3:4" ht="15">
      <c r="C281" t="s">
        <v>272</v>
      </c>
      <c r="D281" s="3">
        <v>1</v>
      </c>
    </row>
    <row r="282" spans="3:4" ht="15">
      <c r="C282" t="s">
        <v>273</v>
      </c>
      <c r="D282" s="3">
        <v>1</v>
      </c>
    </row>
    <row r="283" spans="3:4" ht="15">
      <c r="C283" t="s">
        <v>274</v>
      </c>
      <c r="D283" s="3">
        <v>1</v>
      </c>
    </row>
    <row r="284" spans="3:4" ht="15">
      <c r="C284" t="s">
        <v>275</v>
      </c>
      <c r="D284" s="3">
        <v>1</v>
      </c>
    </row>
    <row r="285" spans="3:4" ht="15">
      <c r="C285" t="s">
        <v>276</v>
      </c>
      <c r="D285" s="3">
        <v>1</v>
      </c>
    </row>
    <row r="286" spans="3:4" ht="15">
      <c r="C286" t="s">
        <v>277</v>
      </c>
      <c r="D286" s="3">
        <v>1</v>
      </c>
    </row>
    <row r="287" spans="3:4" ht="15">
      <c r="C287" t="s">
        <v>278</v>
      </c>
      <c r="D287" s="3">
        <v>1</v>
      </c>
    </row>
    <row r="288" spans="3:4" ht="15">
      <c r="C288" t="s">
        <v>279</v>
      </c>
      <c r="D288" s="3">
        <v>1</v>
      </c>
    </row>
    <row r="289" spans="3:4" ht="15">
      <c r="C289" t="s">
        <v>280</v>
      </c>
      <c r="D289" s="3">
        <v>1</v>
      </c>
    </row>
    <row r="290" spans="3:4" ht="15">
      <c r="C290" t="s">
        <v>281</v>
      </c>
      <c r="D290" s="3">
        <v>1</v>
      </c>
    </row>
    <row r="291" spans="3:4" ht="15">
      <c r="C291" t="s">
        <v>282</v>
      </c>
      <c r="D291" s="3">
        <v>1</v>
      </c>
    </row>
    <row r="292" spans="3:4" ht="15">
      <c r="C292" t="s">
        <v>283</v>
      </c>
      <c r="D292" s="3">
        <v>1</v>
      </c>
    </row>
    <row r="293" spans="3:4" ht="15">
      <c r="C293" t="s">
        <v>284</v>
      </c>
      <c r="D293" s="3">
        <v>1</v>
      </c>
    </row>
    <row r="294" spans="3:4" ht="15">
      <c r="C294" t="s">
        <v>285</v>
      </c>
      <c r="D294" s="3">
        <v>1</v>
      </c>
    </row>
    <row r="295" spans="3:4" ht="15">
      <c r="C295" t="s">
        <v>286</v>
      </c>
      <c r="D295" s="3">
        <v>1</v>
      </c>
    </row>
    <row r="296" spans="3:4" ht="15">
      <c r="C296" t="s">
        <v>287</v>
      </c>
      <c r="D296" s="3">
        <v>1</v>
      </c>
    </row>
    <row r="297" spans="3:4" ht="15">
      <c r="C297" t="s">
        <v>288</v>
      </c>
      <c r="D297" s="3">
        <v>1</v>
      </c>
    </row>
    <row r="298" spans="3:4" ht="15">
      <c r="C298" t="s">
        <v>289</v>
      </c>
      <c r="D298" s="3">
        <v>1</v>
      </c>
    </row>
    <row r="299" spans="3:4" ht="15">
      <c r="C299" t="s">
        <v>290</v>
      </c>
      <c r="D299" s="3">
        <v>1</v>
      </c>
    </row>
    <row r="300" spans="3:4" ht="15">
      <c r="C300" t="s">
        <v>291</v>
      </c>
      <c r="D300" s="3">
        <v>1</v>
      </c>
    </row>
    <row r="301" spans="3:4" ht="15">
      <c r="C301" t="s">
        <v>292</v>
      </c>
      <c r="D301" s="3">
        <v>1</v>
      </c>
    </row>
    <row r="302" spans="3:4" ht="15">
      <c r="C302" t="s">
        <v>293</v>
      </c>
      <c r="D302" s="3">
        <v>1</v>
      </c>
    </row>
    <row r="303" spans="3:4" ht="15">
      <c r="C303" t="s">
        <v>294</v>
      </c>
      <c r="D303" s="3">
        <v>1</v>
      </c>
    </row>
    <row r="304" spans="3:4" ht="15">
      <c r="C304" t="s">
        <v>295</v>
      </c>
      <c r="D304" s="3">
        <v>1</v>
      </c>
    </row>
    <row r="305" spans="3:4" ht="15">
      <c r="C305" t="s">
        <v>296</v>
      </c>
      <c r="D305" s="3">
        <v>1</v>
      </c>
    </row>
    <row r="306" spans="3:4" ht="15">
      <c r="C306" t="s">
        <v>297</v>
      </c>
      <c r="D306" s="3">
        <v>1</v>
      </c>
    </row>
    <row r="307" spans="3:4" ht="15">
      <c r="C307" t="s">
        <v>298</v>
      </c>
      <c r="D307" s="3">
        <v>1</v>
      </c>
    </row>
    <row r="308" spans="3:4" ht="15">
      <c r="C308" t="s">
        <v>299</v>
      </c>
      <c r="D308" s="3">
        <v>1</v>
      </c>
    </row>
    <row r="309" spans="3:4" ht="15">
      <c r="C309" t="s">
        <v>300</v>
      </c>
      <c r="D309" s="3">
        <v>1</v>
      </c>
    </row>
    <row r="310" spans="3:4" ht="15">
      <c r="C310" t="s">
        <v>301</v>
      </c>
      <c r="D310" s="3">
        <v>1</v>
      </c>
    </row>
    <row r="311" spans="3:4" ht="15">
      <c r="C311" t="s">
        <v>302</v>
      </c>
      <c r="D311" s="3">
        <v>1</v>
      </c>
    </row>
    <row r="312" spans="3:4" ht="15">
      <c r="C312" t="s">
        <v>303</v>
      </c>
      <c r="D312" s="3">
        <v>1</v>
      </c>
    </row>
    <row r="313" spans="3:4" ht="15">
      <c r="C313" t="s">
        <v>304</v>
      </c>
      <c r="D313" s="3">
        <v>1</v>
      </c>
    </row>
    <row r="314" spans="3:4" ht="15">
      <c r="C314" t="s">
        <v>305</v>
      </c>
      <c r="D314" s="3">
        <v>1</v>
      </c>
    </row>
    <row r="315" spans="3:4" ht="15">
      <c r="C315" t="s">
        <v>306</v>
      </c>
      <c r="D315" s="3">
        <v>1</v>
      </c>
    </row>
    <row r="316" spans="3:4" ht="15">
      <c r="C316" t="s">
        <v>307</v>
      </c>
      <c r="D316" s="3">
        <v>1</v>
      </c>
    </row>
    <row r="317" spans="3:4" ht="15">
      <c r="C317" t="s">
        <v>308</v>
      </c>
      <c r="D317" s="3">
        <v>1</v>
      </c>
    </row>
    <row r="318" spans="3:4" ht="15">
      <c r="C318" t="s">
        <v>309</v>
      </c>
      <c r="D318" s="3">
        <v>1</v>
      </c>
    </row>
    <row r="319" spans="3:4" ht="15">
      <c r="C319" t="s">
        <v>310</v>
      </c>
      <c r="D319" s="3">
        <v>1</v>
      </c>
    </row>
    <row r="320" spans="3:4" ht="15">
      <c r="C320" t="s">
        <v>311</v>
      </c>
      <c r="D320" s="3">
        <v>1</v>
      </c>
    </row>
    <row r="321" spans="3:4" ht="15">
      <c r="C321" t="s">
        <v>312</v>
      </c>
      <c r="D321" s="3">
        <v>1</v>
      </c>
    </row>
    <row r="322" spans="3:4" ht="15">
      <c r="C322" t="s">
        <v>313</v>
      </c>
      <c r="D322" s="3">
        <v>1</v>
      </c>
    </row>
    <row r="323" spans="3:4" ht="15">
      <c r="C323" t="s">
        <v>314</v>
      </c>
      <c r="D323" s="3">
        <v>1</v>
      </c>
    </row>
    <row r="324" spans="3:4" ht="15">
      <c r="C324" t="s">
        <v>315</v>
      </c>
      <c r="D324" s="3">
        <v>1</v>
      </c>
    </row>
    <row r="325" spans="3:4" ht="15">
      <c r="C325" t="s">
        <v>316</v>
      </c>
      <c r="D325" s="3">
        <v>1</v>
      </c>
    </row>
    <row r="326" spans="3:4" ht="15">
      <c r="C326" t="s">
        <v>317</v>
      </c>
      <c r="D326" s="3">
        <v>1</v>
      </c>
    </row>
    <row r="327" spans="3:4" ht="15">
      <c r="C327" t="s">
        <v>318</v>
      </c>
      <c r="D327" s="3">
        <v>1</v>
      </c>
    </row>
    <row r="328" spans="3:4" ht="15">
      <c r="C328" t="s">
        <v>319</v>
      </c>
      <c r="D328" s="3">
        <v>1</v>
      </c>
    </row>
    <row r="329" spans="3:4" ht="15">
      <c r="C329" t="s">
        <v>320</v>
      </c>
      <c r="D329" s="3">
        <v>1</v>
      </c>
    </row>
    <row r="330" spans="3:4" ht="15">
      <c r="C330" t="s">
        <v>321</v>
      </c>
      <c r="D330" s="3">
        <v>1</v>
      </c>
    </row>
    <row r="331" spans="3:4" ht="15">
      <c r="C331" t="s">
        <v>322</v>
      </c>
      <c r="D331" s="3">
        <v>1</v>
      </c>
    </row>
    <row r="332" spans="3:4" ht="15">
      <c r="C332" t="s">
        <v>323</v>
      </c>
      <c r="D332" s="3">
        <v>1</v>
      </c>
    </row>
    <row r="333" spans="3:4" ht="15">
      <c r="C333" t="s">
        <v>324</v>
      </c>
      <c r="D333" s="3">
        <v>1</v>
      </c>
    </row>
    <row r="334" spans="3:4" ht="15">
      <c r="C334" t="s">
        <v>325</v>
      </c>
      <c r="D334" s="3">
        <v>1</v>
      </c>
    </row>
    <row r="335" spans="3:4" ht="15">
      <c r="C335" t="s">
        <v>326</v>
      </c>
      <c r="D335" s="3">
        <v>1</v>
      </c>
    </row>
    <row r="336" spans="3:4" ht="15">
      <c r="C336" t="s">
        <v>327</v>
      </c>
      <c r="D336" s="3">
        <v>1</v>
      </c>
    </row>
    <row r="337" spans="3:4" ht="15">
      <c r="C337" t="s">
        <v>328</v>
      </c>
      <c r="D337" s="3">
        <v>1</v>
      </c>
    </row>
    <row r="338" spans="3:4" ht="15">
      <c r="C338" t="s">
        <v>329</v>
      </c>
      <c r="D338" s="3">
        <v>1</v>
      </c>
    </row>
    <row r="339" spans="3:4" ht="15">
      <c r="C339" t="s">
        <v>330</v>
      </c>
      <c r="D339" s="3">
        <v>1</v>
      </c>
    </row>
    <row r="340" spans="3:4" ht="15">
      <c r="C340" t="s">
        <v>331</v>
      </c>
      <c r="D340" s="3">
        <v>1</v>
      </c>
    </row>
    <row r="341" spans="3:4" ht="15">
      <c r="C341" t="s">
        <v>332</v>
      </c>
      <c r="D341" s="3">
        <v>1</v>
      </c>
    </row>
    <row r="342" spans="3:4" ht="15">
      <c r="C342" t="s">
        <v>333</v>
      </c>
      <c r="D342" s="3">
        <v>1</v>
      </c>
    </row>
    <row r="343" spans="3:4" ht="15">
      <c r="C343" t="s">
        <v>334</v>
      </c>
      <c r="D343" s="3">
        <v>1</v>
      </c>
    </row>
    <row r="344" spans="3:4" ht="15">
      <c r="C344" t="s">
        <v>335</v>
      </c>
      <c r="D344" s="3">
        <v>1</v>
      </c>
    </row>
    <row r="345" spans="3:4" ht="15">
      <c r="C345" t="s">
        <v>336</v>
      </c>
      <c r="D345" s="3">
        <v>1</v>
      </c>
    </row>
    <row r="346" spans="3:4" ht="15">
      <c r="C346" t="s">
        <v>337</v>
      </c>
      <c r="D346" s="3">
        <v>1</v>
      </c>
    </row>
    <row r="347" spans="3:4" ht="15">
      <c r="C347" t="s">
        <v>338</v>
      </c>
      <c r="D347" s="3">
        <v>1</v>
      </c>
    </row>
    <row r="348" spans="3:4" ht="15">
      <c r="C348" t="s">
        <v>339</v>
      </c>
      <c r="D348" s="3">
        <v>1</v>
      </c>
    </row>
    <row r="349" spans="3:4" ht="15">
      <c r="C349" t="s">
        <v>340</v>
      </c>
      <c r="D349" s="3">
        <v>1</v>
      </c>
    </row>
    <row r="350" spans="3:4" ht="15">
      <c r="C350" t="s">
        <v>341</v>
      </c>
      <c r="D350" s="3">
        <v>1</v>
      </c>
    </row>
    <row r="351" spans="3:4" ht="15">
      <c r="C351" t="s">
        <v>342</v>
      </c>
      <c r="D351" s="3">
        <v>1</v>
      </c>
    </row>
    <row r="352" spans="3:4" ht="15">
      <c r="C352" t="s">
        <v>343</v>
      </c>
      <c r="D352" s="3">
        <v>1</v>
      </c>
    </row>
    <row r="353" spans="3:4" ht="15">
      <c r="C353" t="s">
        <v>344</v>
      </c>
      <c r="D353" s="3">
        <v>1</v>
      </c>
    </row>
    <row r="354" spans="3:4" ht="15">
      <c r="C354" t="s">
        <v>345</v>
      </c>
      <c r="D354" s="3">
        <v>1</v>
      </c>
    </row>
    <row r="355" spans="3:4" ht="15">
      <c r="C355" t="s">
        <v>346</v>
      </c>
      <c r="D355" s="3">
        <v>1</v>
      </c>
    </row>
    <row r="356" spans="3:4" ht="15">
      <c r="C356" t="s">
        <v>347</v>
      </c>
      <c r="D356" s="3">
        <v>1</v>
      </c>
    </row>
    <row r="357" spans="3:4" ht="15">
      <c r="C357" t="s">
        <v>348</v>
      </c>
      <c r="D357" s="3">
        <v>1</v>
      </c>
    </row>
    <row r="358" spans="3:4" ht="15">
      <c r="C358" t="s">
        <v>349</v>
      </c>
      <c r="D358" s="3">
        <v>1</v>
      </c>
    </row>
    <row r="359" spans="3:4" ht="15">
      <c r="C359" t="s">
        <v>350</v>
      </c>
      <c r="D359" s="3">
        <v>1</v>
      </c>
    </row>
    <row r="360" spans="3:4" ht="15">
      <c r="C360" t="s">
        <v>351</v>
      </c>
      <c r="D360" s="3">
        <v>1</v>
      </c>
    </row>
    <row r="361" spans="3:4" ht="15">
      <c r="C361" t="s">
        <v>352</v>
      </c>
      <c r="D361" s="3">
        <v>1</v>
      </c>
    </row>
    <row r="362" spans="3:4" ht="15">
      <c r="C362" t="s">
        <v>353</v>
      </c>
      <c r="D362" s="3">
        <v>1</v>
      </c>
    </row>
    <row r="363" spans="3:4" ht="15">
      <c r="C363" t="s">
        <v>354</v>
      </c>
      <c r="D363" s="3">
        <v>1</v>
      </c>
    </row>
    <row r="364" spans="3:4" ht="15">
      <c r="C364" t="s">
        <v>355</v>
      </c>
      <c r="D364" s="3">
        <v>1</v>
      </c>
    </row>
    <row r="365" spans="3:4" ht="15">
      <c r="C365" t="s">
        <v>356</v>
      </c>
      <c r="D365" s="3">
        <v>1</v>
      </c>
    </row>
    <row r="366" spans="3:4" ht="15">
      <c r="C366" t="s">
        <v>357</v>
      </c>
      <c r="D366" s="3">
        <v>1</v>
      </c>
    </row>
    <row r="367" spans="3:4" ht="15">
      <c r="C367" t="s">
        <v>358</v>
      </c>
      <c r="D367" s="3">
        <v>1</v>
      </c>
    </row>
    <row r="368" spans="3:4" ht="15">
      <c r="C368" t="s">
        <v>359</v>
      </c>
      <c r="D368" s="3">
        <v>1</v>
      </c>
    </row>
    <row r="369" spans="3:4" ht="15">
      <c r="C369" t="s">
        <v>360</v>
      </c>
      <c r="D369" s="3">
        <v>1</v>
      </c>
    </row>
    <row r="370" spans="3:4" ht="15">
      <c r="C370" t="s">
        <v>361</v>
      </c>
      <c r="D370" s="3">
        <v>1</v>
      </c>
    </row>
    <row r="371" spans="3:4" ht="15">
      <c r="C371" t="s">
        <v>362</v>
      </c>
      <c r="D371" s="3">
        <v>1</v>
      </c>
    </row>
    <row r="372" spans="3:4" ht="15">
      <c r="C372" t="s">
        <v>363</v>
      </c>
      <c r="D372" s="3">
        <v>1</v>
      </c>
    </row>
    <row r="373" spans="3:4" ht="15">
      <c r="C373" t="s">
        <v>364</v>
      </c>
      <c r="D373" s="3">
        <v>1</v>
      </c>
    </row>
    <row r="374" spans="3:4" ht="15">
      <c r="C374" t="s">
        <v>365</v>
      </c>
      <c r="D374" s="3">
        <v>1</v>
      </c>
    </row>
    <row r="375" spans="3:4" ht="15">
      <c r="C375" t="s">
        <v>366</v>
      </c>
      <c r="D375" s="3">
        <v>1</v>
      </c>
    </row>
    <row r="376" spans="3:4" ht="15">
      <c r="C376" t="s">
        <v>367</v>
      </c>
      <c r="D376" s="3">
        <v>1</v>
      </c>
    </row>
    <row r="377" spans="3:4" ht="15">
      <c r="C377" t="s">
        <v>368</v>
      </c>
      <c r="D377" s="3">
        <v>1</v>
      </c>
    </row>
    <row r="378" spans="3:4" ht="15">
      <c r="C378" t="s">
        <v>369</v>
      </c>
      <c r="D378" s="3">
        <v>1</v>
      </c>
    </row>
    <row r="379" spans="3:4" ht="15">
      <c r="C379" t="s">
        <v>32</v>
      </c>
      <c r="D379" s="3">
        <v>2</v>
      </c>
    </row>
    <row r="380" spans="3:4" ht="15">
      <c r="C380" t="s">
        <v>370</v>
      </c>
      <c r="D380" s="3">
        <v>1</v>
      </c>
    </row>
    <row r="381" spans="3:4" ht="15">
      <c r="C381" t="s">
        <v>371</v>
      </c>
      <c r="D381" s="3">
        <v>1</v>
      </c>
    </row>
    <row r="382" spans="3:4" ht="15">
      <c r="C382" t="s">
        <v>36</v>
      </c>
      <c r="D382" s="3">
        <v>2</v>
      </c>
    </row>
    <row r="383" spans="3:4" ht="15">
      <c r="C383" t="s">
        <v>372</v>
      </c>
      <c r="D383" s="3">
        <v>1</v>
      </c>
    </row>
    <row r="384" spans="3:4" ht="15">
      <c r="C384" t="s">
        <v>373</v>
      </c>
      <c r="D384" s="3">
        <v>1</v>
      </c>
    </row>
    <row r="385" spans="3:4" ht="15">
      <c r="C385" t="s">
        <v>374</v>
      </c>
      <c r="D385" s="3">
        <v>1</v>
      </c>
    </row>
    <row r="386" spans="3:4" ht="15">
      <c r="C386" t="s">
        <v>375</v>
      </c>
      <c r="D386" s="3">
        <v>1</v>
      </c>
    </row>
    <row r="387" spans="3:4" ht="15">
      <c r="C387" t="s">
        <v>376</v>
      </c>
      <c r="D387" s="3">
        <v>1</v>
      </c>
    </row>
    <row r="388" spans="3:4" ht="15">
      <c r="C388" t="s">
        <v>377</v>
      </c>
      <c r="D388" s="3">
        <v>1</v>
      </c>
    </row>
    <row r="389" spans="3:4" ht="15">
      <c r="C389" t="s">
        <v>378</v>
      </c>
      <c r="D389" s="3">
        <v>1</v>
      </c>
    </row>
    <row r="390" spans="3:4" ht="15">
      <c r="C390" t="s">
        <v>379</v>
      </c>
      <c r="D390" s="3">
        <v>1</v>
      </c>
    </row>
    <row r="391" spans="3:4" ht="15">
      <c r="C391" t="s">
        <v>380</v>
      </c>
      <c r="D391" s="3">
        <v>1</v>
      </c>
    </row>
    <row r="392" spans="3:4" ht="15">
      <c r="C392" t="s">
        <v>381</v>
      </c>
      <c r="D392" s="3">
        <v>1</v>
      </c>
    </row>
    <row r="393" spans="3:4" ht="15">
      <c r="C393" t="s">
        <v>382</v>
      </c>
      <c r="D393" s="3">
        <v>1</v>
      </c>
    </row>
    <row r="394" spans="3:4" ht="15">
      <c r="C394" t="s">
        <v>383</v>
      </c>
      <c r="D394" s="3">
        <v>1</v>
      </c>
    </row>
    <row r="395" spans="3:4" ht="15">
      <c r="C395" t="s">
        <v>384</v>
      </c>
      <c r="D395" s="3">
        <v>1</v>
      </c>
    </row>
    <row r="396" spans="3:4" ht="15">
      <c r="C396" t="s">
        <v>385</v>
      </c>
      <c r="D396" s="3">
        <v>1</v>
      </c>
    </row>
    <row r="397" spans="3:4" ht="15">
      <c r="C397" t="s">
        <v>386</v>
      </c>
      <c r="D397" s="3">
        <v>1</v>
      </c>
    </row>
    <row r="398" spans="3:4" ht="15">
      <c r="C398" t="s">
        <v>387</v>
      </c>
      <c r="D398" s="3">
        <v>1</v>
      </c>
    </row>
    <row r="399" spans="3:4" ht="15">
      <c r="C399" t="s">
        <v>388</v>
      </c>
      <c r="D399" s="3">
        <v>1</v>
      </c>
    </row>
    <row r="400" spans="3:4" ht="15">
      <c r="C400" t="s">
        <v>389</v>
      </c>
      <c r="D400" s="3">
        <v>1</v>
      </c>
    </row>
    <row r="401" spans="3:4" ht="15">
      <c r="C401" t="s">
        <v>390</v>
      </c>
      <c r="D401" s="3">
        <v>1</v>
      </c>
    </row>
    <row r="402" spans="3:4" ht="15">
      <c r="C402" t="s">
        <v>391</v>
      </c>
      <c r="D402" s="3">
        <v>1</v>
      </c>
    </row>
    <row r="403" spans="3:4" ht="15">
      <c r="C403" t="s">
        <v>392</v>
      </c>
      <c r="D403" s="3">
        <v>1</v>
      </c>
    </row>
    <row r="404" spans="3:4" ht="15">
      <c r="C404" t="s">
        <v>393</v>
      </c>
      <c r="D404" s="3">
        <v>1</v>
      </c>
    </row>
    <row r="405" spans="3:4" ht="15">
      <c r="C405" t="s">
        <v>394</v>
      </c>
      <c r="D405" s="3">
        <v>1</v>
      </c>
    </row>
    <row r="406" spans="3:4" ht="15">
      <c r="C406" t="s">
        <v>396</v>
      </c>
      <c r="D406" s="3">
        <v>1</v>
      </c>
    </row>
    <row r="407" spans="3:4" ht="15">
      <c r="C407" t="s">
        <v>397</v>
      </c>
      <c r="D407" s="3">
        <v>1</v>
      </c>
    </row>
    <row r="408" spans="3:4" ht="15">
      <c r="C408" t="s">
        <v>398</v>
      </c>
      <c r="D408" s="3">
        <v>1</v>
      </c>
    </row>
    <row r="409" spans="3:4" ht="15">
      <c r="C409" t="s">
        <v>399</v>
      </c>
      <c r="D409" s="3">
        <v>1</v>
      </c>
    </row>
    <row r="410" spans="3:4" ht="15">
      <c r="C410" t="s">
        <v>400</v>
      </c>
      <c r="D410" s="3">
        <v>1</v>
      </c>
    </row>
    <row r="411" spans="3:4" ht="15">
      <c r="C411" t="s">
        <v>401</v>
      </c>
      <c r="D411" s="3">
        <v>1</v>
      </c>
    </row>
    <row r="412" spans="3:4" ht="15">
      <c r="C412" t="s">
        <v>402</v>
      </c>
      <c r="D412" s="3">
        <v>1</v>
      </c>
    </row>
    <row r="413" spans="3:4" ht="15">
      <c r="C413" t="s">
        <v>403</v>
      </c>
      <c r="D413" s="3">
        <v>1</v>
      </c>
    </row>
    <row r="414" spans="3:4" ht="15">
      <c r="C414" t="s">
        <v>404</v>
      </c>
      <c r="D414" s="3">
        <v>1</v>
      </c>
    </row>
    <row r="415" spans="3:4" ht="15">
      <c r="C415" t="s">
        <v>405</v>
      </c>
      <c r="D415" s="3">
        <v>1</v>
      </c>
    </row>
    <row r="416" spans="3:4" ht="15">
      <c r="C416" t="s">
        <v>406</v>
      </c>
      <c r="D416" s="3">
        <v>1</v>
      </c>
    </row>
    <row r="417" spans="3:4" ht="15">
      <c r="C417" t="s">
        <v>407</v>
      </c>
      <c r="D417" s="3">
        <v>1</v>
      </c>
    </row>
    <row r="418" spans="3:4" ht="15">
      <c r="C418" t="s">
        <v>408</v>
      </c>
      <c r="D418" s="3">
        <v>1</v>
      </c>
    </row>
    <row r="419" spans="3:4" ht="15">
      <c r="C419" t="s">
        <v>409</v>
      </c>
      <c r="D419" s="3">
        <v>1</v>
      </c>
    </row>
    <row r="420" spans="3:4" ht="15">
      <c r="C420" t="s">
        <v>410</v>
      </c>
      <c r="D420" s="3">
        <v>1</v>
      </c>
    </row>
    <row r="421" spans="3:4" ht="15">
      <c r="C421" t="s">
        <v>411</v>
      </c>
      <c r="D421" s="3">
        <v>1</v>
      </c>
    </row>
    <row r="422" spans="3:4" ht="15">
      <c r="C422" t="s">
        <v>412</v>
      </c>
      <c r="D422" s="3">
        <v>1</v>
      </c>
    </row>
    <row r="423" spans="3:4" ht="15">
      <c r="C423" t="s">
        <v>413</v>
      </c>
      <c r="D423" s="3">
        <v>1</v>
      </c>
    </row>
    <row r="424" spans="3:4" ht="15">
      <c r="C424" t="s">
        <v>414</v>
      </c>
      <c r="D424" s="3">
        <v>1</v>
      </c>
    </row>
    <row r="425" spans="3:4" ht="15">
      <c r="C425" t="s">
        <v>415</v>
      </c>
      <c r="D425" s="3">
        <v>2</v>
      </c>
    </row>
    <row r="426" spans="3:4" ht="15">
      <c r="C426" t="s">
        <v>417</v>
      </c>
      <c r="D426" s="3">
        <v>1</v>
      </c>
    </row>
    <row r="427" spans="3:4" ht="15">
      <c r="C427" t="s">
        <v>418</v>
      </c>
      <c r="D427" s="3">
        <v>1</v>
      </c>
    </row>
    <row r="428" spans="3:4" ht="15">
      <c r="C428" t="s">
        <v>419</v>
      </c>
      <c r="D428" s="3">
        <v>1</v>
      </c>
    </row>
    <row r="429" spans="3:4" ht="15">
      <c r="C429" t="s">
        <v>420</v>
      </c>
      <c r="D429" s="3">
        <v>1</v>
      </c>
    </row>
    <row r="430" spans="3:4" ht="15">
      <c r="C430" t="s">
        <v>68</v>
      </c>
      <c r="D430" s="3">
        <v>1</v>
      </c>
    </row>
    <row r="431" spans="3:4" ht="15">
      <c r="C431" t="s">
        <v>421</v>
      </c>
      <c r="D431" s="3">
        <v>1</v>
      </c>
    </row>
    <row r="432" spans="3:4" ht="15">
      <c r="C432" t="s">
        <v>422</v>
      </c>
      <c r="D432" s="3">
        <v>1</v>
      </c>
    </row>
    <row r="433" spans="3:4" ht="15">
      <c r="C433" t="s">
        <v>423</v>
      </c>
      <c r="D433" s="3">
        <v>1</v>
      </c>
    </row>
    <row r="434" spans="3:4" ht="15">
      <c r="C434" t="s">
        <v>424</v>
      </c>
      <c r="D434" s="3">
        <v>2</v>
      </c>
    </row>
    <row r="435" spans="3:4" ht="15">
      <c r="C435" t="s">
        <v>425</v>
      </c>
      <c r="D435" s="3">
        <v>1</v>
      </c>
    </row>
    <row r="436" spans="3:4" ht="15">
      <c r="C436" t="s">
        <v>426</v>
      </c>
      <c r="D436" s="3">
        <v>1</v>
      </c>
    </row>
    <row r="437" spans="3:4" ht="15">
      <c r="C437" t="s">
        <v>427</v>
      </c>
      <c r="D437" s="3">
        <v>1</v>
      </c>
    </row>
    <row r="438" spans="3:4" ht="15">
      <c r="C438" t="s">
        <v>428</v>
      </c>
      <c r="D438" s="3">
        <v>1</v>
      </c>
    </row>
    <row r="439" spans="3:4" ht="15">
      <c r="C439" t="s">
        <v>429</v>
      </c>
      <c r="D439" s="3">
        <v>1</v>
      </c>
    </row>
    <row r="440" spans="3:4" ht="15">
      <c r="C440" t="s">
        <v>430</v>
      </c>
      <c r="D440" s="3">
        <v>4</v>
      </c>
    </row>
    <row r="441" spans="3:4" ht="15">
      <c r="C441" t="s">
        <v>431</v>
      </c>
      <c r="D441" s="3">
        <v>1</v>
      </c>
    </row>
    <row r="442" spans="3:4" ht="15">
      <c r="C442" t="s">
        <v>432</v>
      </c>
      <c r="D442" s="3">
        <v>1</v>
      </c>
    </row>
    <row r="443" spans="3:4" ht="15">
      <c r="C443" t="s">
        <v>434</v>
      </c>
      <c r="D443" s="3">
        <v>1</v>
      </c>
    </row>
    <row r="444" spans="3:4" ht="15">
      <c r="C444" t="s">
        <v>436</v>
      </c>
      <c r="D444" s="3">
        <v>1</v>
      </c>
    </row>
    <row r="445" spans="3:4" ht="15">
      <c r="C445" t="s">
        <v>437</v>
      </c>
      <c r="D445" s="3">
        <v>1</v>
      </c>
    </row>
    <row r="446" spans="3:4" ht="15">
      <c r="C446" t="s">
        <v>438</v>
      </c>
      <c r="D446" s="3">
        <v>1</v>
      </c>
    </row>
    <row r="447" spans="3:4" ht="15">
      <c r="C447" t="s">
        <v>439</v>
      </c>
      <c r="D447" s="3">
        <v>1</v>
      </c>
    </row>
    <row r="448" spans="3:4" ht="15">
      <c r="C448" t="s">
        <v>440</v>
      </c>
      <c r="D448" s="3">
        <v>1</v>
      </c>
    </row>
    <row r="449" spans="3:4" ht="15">
      <c r="C449" t="s">
        <v>441</v>
      </c>
      <c r="D449" s="3">
        <v>1</v>
      </c>
    </row>
    <row r="450" spans="3:4" ht="15">
      <c r="C450" t="s">
        <v>442</v>
      </c>
      <c r="D450" s="3">
        <v>1</v>
      </c>
    </row>
    <row r="451" spans="3:4" ht="15">
      <c r="C451" t="s">
        <v>443</v>
      </c>
      <c r="D451" s="3">
        <v>1</v>
      </c>
    </row>
    <row r="452" spans="3:4" ht="15">
      <c r="C452" t="s">
        <v>444</v>
      </c>
      <c r="D452" s="3">
        <v>1</v>
      </c>
    </row>
    <row r="453" spans="3:4" ht="15">
      <c r="C453" t="s">
        <v>445</v>
      </c>
      <c r="D453" s="3">
        <v>1</v>
      </c>
    </row>
    <row r="454" spans="3:4" ht="15">
      <c r="C454" t="s">
        <v>446</v>
      </c>
      <c r="D454" s="3">
        <v>1</v>
      </c>
    </row>
    <row r="455" spans="3:4" ht="15">
      <c r="C455" t="s">
        <v>447</v>
      </c>
      <c r="D455" s="3">
        <v>2</v>
      </c>
    </row>
    <row r="456" spans="3:4" ht="15">
      <c r="C456" t="s">
        <v>448</v>
      </c>
      <c r="D456" s="3">
        <v>1</v>
      </c>
    </row>
    <row r="457" spans="3:4" ht="15">
      <c r="C457" t="s">
        <v>449</v>
      </c>
      <c r="D457" s="3">
        <v>1</v>
      </c>
    </row>
    <row r="458" spans="3:4" ht="15">
      <c r="C458" t="s">
        <v>450</v>
      </c>
      <c r="D458" s="3">
        <v>1</v>
      </c>
    </row>
    <row r="459" spans="3:4" ht="15">
      <c r="C459" t="s">
        <v>451</v>
      </c>
      <c r="D459" s="3">
        <v>1</v>
      </c>
    </row>
    <row r="460" spans="3:4" ht="15">
      <c r="C460" t="s">
        <v>452</v>
      </c>
      <c r="D460" s="3">
        <v>1</v>
      </c>
    </row>
    <row r="461" spans="3:4" ht="15">
      <c r="C461" t="s">
        <v>453</v>
      </c>
      <c r="D461" s="3">
        <v>1</v>
      </c>
    </row>
    <row r="462" spans="3:4" ht="15">
      <c r="C462" t="s">
        <v>454</v>
      </c>
      <c r="D462" s="3">
        <v>1</v>
      </c>
    </row>
    <row r="463" spans="3:4" ht="15">
      <c r="C463" t="s">
        <v>455</v>
      </c>
      <c r="D463" s="3">
        <v>1</v>
      </c>
    </row>
    <row r="464" spans="3:4" ht="15">
      <c r="C464" t="s">
        <v>456</v>
      </c>
      <c r="D464" s="3">
        <v>1</v>
      </c>
    </row>
    <row r="465" spans="3:4" ht="15">
      <c r="C465" t="s">
        <v>457</v>
      </c>
      <c r="D465" s="3">
        <v>1</v>
      </c>
    </row>
    <row r="466" spans="3:4" ht="15">
      <c r="C466" t="s">
        <v>458</v>
      </c>
      <c r="D466" s="3">
        <v>1</v>
      </c>
    </row>
    <row r="467" spans="3:4" ht="15">
      <c r="C467" t="s">
        <v>459</v>
      </c>
      <c r="D467" s="3">
        <v>1</v>
      </c>
    </row>
    <row r="468" spans="3:4" ht="15">
      <c r="C468" t="s">
        <v>460</v>
      </c>
      <c r="D468" s="3">
        <v>1</v>
      </c>
    </row>
    <row r="469" spans="3:4" ht="15">
      <c r="C469" t="s">
        <v>461</v>
      </c>
      <c r="D469" s="3">
        <v>1</v>
      </c>
    </row>
    <row r="470" spans="3:4" ht="15">
      <c r="C470" t="s">
        <v>462</v>
      </c>
      <c r="D470" s="3">
        <v>1</v>
      </c>
    </row>
    <row r="471" spans="3:4" ht="15">
      <c r="C471" t="s">
        <v>463</v>
      </c>
      <c r="D471" s="3">
        <v>1</v>
      </c>
    </row>
    <row r="472" spans="3:4" ht="15">
      <c r="C472" t="s">
        <v>464</v>
      </c>
      <c r="D472" s="3">
        <v>1</v>
      </c>
    </row>
    <row r="473" spans="3:4" ht="15">
      <c r="C473" t="s">
        <v>465</v>
      </c>
      <c r="D473" s="3">
        <v>2</v>
      </c>
    </row>
    <row r="474" spans="3:4" ht="15">
      <c r="C474" t="s">
        <v>466</v>
      </c>
      <c r="D474" s="3">
        <v>1</v>
      </c>
    </row>
    <row r="475" spans="3:4" ht="15">
      <c r="C475" t="s">
        <v>116</v>
      </c>
      <c r="D475" s="3">
        <v>1</v>
      </c>
    </row>
    <row r="476" spans="3:4" ht="15">
      <c r="C476" t="s">
        <v>467</v>
      </c>
      <c r="D476" s="3">
        <v>1</v>
      </c>
    </row>
    <row r="477" spans="3:4" ht="15">
      <c r="C477" t="s">
        <v>468</v>
      </c>
      <c r="D477" s="3">
        <v>1</v>
      </c>
    </row>
    <row r="478" spans="3:4" ht="15">
      <c r="C478" t="s">
        <v>469</v>
      </c>
      <c r="D478" s="3">
        <v>1</v>
      </c>
    </row>
    <row r="479" spans="3:4" ht="15">
      <c r="C479" t="s">
        <v>470</v>
      </c>
      <c r="D479" s="3">
        <v>1</v>
      </c>
    </row>
    <row r="480" spans="3:4" ht="15">
      <c r="C480" t="s">
        <v>471</v>
      </c>
      <c r="D480" s="3">
        <v>1</v>
      </c>
    </row>
    <row r="481" spans="3:4" ht="15">
      <c r="C481" t="s">
        <v>472</v>
      </c>
      <c r="D481" s="3">
        <v>1</v>
      </c>
    </row>
    <row r="482" spans="3:4" ht="15">
      <c r="C482" t="s">
        <v>473</v>
      </c>
      <c r="D482" s="3">
        <v>1</v>
      </c>
    </row>
    <row r="483" spans="3:4" ht="15">
      <c r="C483" t="s">
        <v>474</v>
      </c>
      <c r="D483" s="3">
        <v>1</v>
      </c>
    </row>
    <row r="484" spans="3:4" ht="15">
      <c r="C484" t="s">
        <v>475</v>
      </c>
      <c r="D484" s="3">
        <v>1</v>
      </c>
    </row>
    <row r="485" spans="3:4" ht="15">
      <c r="C485" t="s">
        <v>476</v>
      </c>
      <c r="D485" s="3">
        <v>1</v>
      </c>
    </row>
    <row r="486" spans="3:4" ht="15">
      <c r="C486" t="s">
        <v>477</v>
      </c>
      <c r="D486" s="3">
        <v>1</v>
      </c>
    </row>
    <row r="487" spans="3:4" ht="15">
      <c r="C487" t="s">
        <v>478</v>
      </c>
      <c r="D487" s="3">
        <v>1</v>
      </c>
    </row>
    <row r="488" spans="3:4" ht="15">
      <c r="C488" t="s">
        <v>479</v>
      </c>
      <c r="D488" s="3">
        <v>1</v>
      </c>
    </row>
    <row r="489" spans="3:4" ht="15">
      <c r="C489" t="s">
        <v>480</v>
      </c>
      <c r="D489" s="3">
        <v>1</v>
      </c>
    </row>
    <row r="490" spans="3:4" ht="15">
      <c r="C490" t="s">
        <v>481</v>
      </c>
      <c r="D490" s="3">
        <v>1</v>
      </c>
    </row>
    <row r="491" spans="3:4" ht="15">
      <c r="C491" t="s">
        <v>482</v>
      </c>
      <c r="D491" s="3">
        <v>1</v>
      </c>
    </row>
    <row r="492" spans="3:4" ht="15">
      <c r="C492" t="s">
        <v>483</v>
      </c>
      <c r="D492" s="3">
        <v>1</v>
      </c>
    </row>
    <row r="493" spans="3:4" ht="15">
      <c r="C493" t="s">
        <v>484</v>
      </c>
      <c r="D493" s="3">
        <v>1</v>
      </c>
    </row>
    <row r="494" spans="3:4" ht="15">
      <c r="C494" t="s">
        <v>485</v>
      </c>
      <c r="D494" s="3">
        <v>1</v>
      </c>
    </row>
    <row r="495" spans="3:4" ht="15">
      <c r="C495" t="s">
        <v>486</v>
      </c>
      <c r="D495" s="3">
        <v>1</v>
      </c>
    </row>
    <row r="496" spans="3:4" ht="15">
      <c r="C496" t="s">
        <v>487</v>
      </c>
      <c r="D496" s="3">
        <v>1</v>
      </c>
    </row>
    <row r="497" spans="3:4" ht="15">
      <c r="C497" t="s">
        <v>488</v>
      </c>
      <c r="D497" s="3">
        <v>1</v>
      </c>
    </row>
    <row r="498" spans="3:4" ht="15">
      <c r="C498" t="s">
        <v>489</v>
      </c>
      <c r="D498" s="3">
        <v>1</v>
      </c>
    </row>
    <row r="499" spans="3:4" ht="15">
      <c r="C499" t="s">
        <v>490</v>
      </c>
      <c r="D499" s="3">
        <v>1</v>
      </c>
    </row>
    <row r="500" spans="3:4" ht="15">
      <c r="C500" t="s">
        <v>491</v>
      </c>
      <c r="D500" s="3">
        <v>1</v>
      </c>
    </row>
    <row r="501" spans="3:4" ht="15">
      <c r="C501" t="s">
        <v>492</v>
      </c>
      <c r="D501" s="3">
        <v>1</v>
      </c>
    </row>
    <row r="502" spans="3:4" ht="15">
      <c r="C502" t="s">
        <v>493</v>
      </c>
      <c r="D502" s="3">
        <v>1</v>
      </c>
    </row>
    <row r="503" spans="3:4" ht="15">
      <c r="C503" t="s">
        <v>494</v>
      </c>
      <c r="D503" s="3">
        <v>1</v>
      </c>
    </row>
    <row r="504" spans="3:4" ht="15">
      <c r="C504" t="s">
        <v>495</v>
      </c>
      <c r="D504" s="3">
        <v>1</v>
      </c>
    </row>
    <row r="505" spans="3:4" ht="15">
      <c r="C505" t="s">
        <v>496</v>
      </c>
      <c r="D505" s="3">
        <v>1</v>
      </c>
    </row>
    <row r="506" spans="3:4" ht="15">
      <c r="C506" t="s">
        <v>497</v>
      </c>
      <c r="D506" s="3">
        <v>1</v>
      </c>
    </row>
    <row r="507" spans="3:4" ht="15">
      <c r="C507" t="s">
        <v>498</v>
      </c>
      <c r="D507" s="3">
        <v>1</v>
      </c>
    </row>
    <row r="508" spans="3:4" ht="15">
      <c r="C508" t="s">
        <v>499</v>
      </c>
      <c r="D508" s="3">
        <v>1</v>
      </c>
    </row>
    <row r="509" spans="3:4" ht="15">
      <c r="C509" t="s">
        <v>500</v>
      </c>
      <c r="D509" s="3">
        <v>1</v>
      </c>
    </row>
    <row r="510" spans="3:4" ht="15">
      <c r="C510" t="s">
        <v>501</v>
      </c>
      <c r="D510" s="3">
        <v>1</v>
      </c>
    </row>
    <row r="511" spans="3:4" ht="15">
      <c r="C511" t="s">
        <v>502</v>
      </c>
      <c r="D511" s="3">
        <v>1</v>
      </c>
    </row>
    <row r="512" spans="3:4" ht="15">
      <c r="C512" t="s">
        <v>503</v>
      </c>
      <c r="D512" s="3">
        <v>1</v>
      </c>
    </row>
    <row r="513" spans="3:4" ht="15">
      <c r="C513" t="s">
        <v>504</v>
      </c>
      <c r="D513" s="3">
        <v>1</v>
      </c>
    </row>
    <row r="514" spans="3:4" ht="15">
      <c r="C514" t="s">
        <v>505</v>
      </c>
      <c r="D514" s="3">
        <v>1</v>
      </c>
    </row>
    <row r="515" spans="3:4" ht="15">
      <c r="C515" t="s">
        <v>506</v>
      </c>
      <c r="D515" s="3">
        <v>1</v>
      </c>
    </row>
    <row r="516" spans="3:4" ht="15">
      <c r="C516" t="s">
        <v>507</v>
      </c>
      <c r="D516" s="3">
        <v>1</v>
      </c>
    </row>
    <row r="517" spans="3:4" ht="15">
      <c r="C517" t="s">
        <v>508</v>
      </c>
      <c r="D517" s="3">
        <v>1</v>
      </c>
    </row>
    <row r="518" spans="3:4" ht="15">
      <c r="C518" t="s">
        <v>509</v>
      </c>
      <c r="D518" s="3">
        <v>1</v>
      </c>
    </row>
    <row r="519" spans="3:4" ht="15">
      <c r="C519" t="s">
        <v>510</v>
      </c>
      <c r="D519" s="3">
        <v>1</v>
      </c>
    </row>
    <row r="520" spans="3:4" ht="15">
      <c r="C520" t="s">
        <v>511</v>
      </c>
      <c r="D520" s="3">
        <v>1</v>
      </c>
    </row>
    <row r="521" spans="3:4" ht="15">
      <c r="C521" t="s">
        <v>512</v>
      </c>
      <c r="D521" s="3">
        <v>1</v>
      </c>
    </row>
    <row r="522" spans="3:4" ht="15">
      <c r="C522" t="s">
        <v>513</v>
      </c>
      <c r="D522" s="3">
        <v>1</v>
      </c>
    </row>
    <row r="523" spans="3:4" ht="15">
      <c r="C523" t="s">
        <v>514</v>
      </c>
      <c r="D523" s="3">
        <v>1</v>
      </c>
    </row>
    <row r="524" spans="3:4" ht="15">
      <c r="C524" t="s">
        <v>515</v>
      </c>
      <c r="D524" s="3">
        <v>1</v>
      </c>
    </row>
    <row r="525" spans="3:4" ht="15">
      <c r="C525" t="s">
        <v>516</v>
      </c>
      <c r="D525" s="3">
        <v>1</v>
      </c>
    </row>
    <row r="526" spans="3:4" ht="15">
      <c r="C526" t="s">
        <v>517</v>
      </c>
      <c r="D526" s="3">
        <v>1</v>
      </c>
    </row>
    <row r="527" spans="3:4" ht="15">
      <c r="C527" t="s">
        <v>518</v>
      </c>
      <c r="D527" s="3">
        <v>1</v>
      </c>
    </row>
    <row r="528" spans="3:4" ht="15">
      <c r="C528" t="s">
        <v>519</v>
      </c>
      <c r="D528" s="3">
        <v>1</v>
      </c>
    </row>
    <row r="529" spans="3:4" ht="15">
      <c r="C529" t="s">
        <v>520</v>
      </c>
      <c r="D529" s="3">
        <v>1</v>
      </c>
    </row>
    <row r="530" spans="3:4" ht="15">
      <c r="C530" t="s">
        <v>521</v>
      </c>
      <c r="D530" s="3">
        <v>1</v>
      </c>
    </row>
    <row r="531" spans="3:4" ht="15">
      <c r="C531" t="s">
        <v>522</v>
      </c>
      <c r="D531" s="3">
        <v>1</v>
      </c>
    </row>
    <row r="532" spans="3:4" ht="15">
      <c r="C532" t="s">
        <v>523</v>
      </c>
      <c r="D532" s="3">
        <v>1</v>
      </c>
    </row>
    <row r="533" spans="3:4" ht="15">
      <c r="C533" t="s">
        <v>524</v>
      </c>
      <c r="D533" s="3">
        <v>1</v>
      </c>
    </row>
    <row r="534" spans="3:4" ht="15">
      <c r="C534" t="s">
        <v>525</v>
      </c>
      <c r="D534" s="3">
        <v>1</v>
      </c>
    </row>
    <row r="535" spans="3:4" ht="15">
      <c r="C535" t="s">
        <v>526</v>
      </c>
      <c r="D535" s="3">
        <v>1</v>
      </c>
    </row>
    <row r="536" spans="3:4" ht="15">
      <c r="C536" t="s">
        <v>527</v>
      </c>
      <c r="D536" s="3">
        <v>1</v>
      </c>
    </row>
    <row r="537" spans="3:4" ht="15">
      <c r="C537" t="s">
        <v>528</v>
      </c>
      <c r="D537" s="3">
        <v>1</v>
      </c>
    </row>
    <row r="538" spans="3:4" ht="15">
      <c r="C538" t="s">
        <v>529</v>
      </c>
      <c r="D538" s="3">
        <v>1</v>
      </c>
    </row>
    <row r="539" spans="3:4" ht="15">
      <c r="C539" t="s">
        <v>530</v>
      </c>
      <c r="D539" s="3">
        <v>1</v>
      </c>
    </row>
    <row r="540" spans="3:4" ht="15">
      <c r="C540" t="s">
        <v>531</v>
      </c>
      <c r="D540" s="3">
        <v>1</v>
      </c>
    </row>
    <row r="541" spans="3:4" ht="15">
      <c r="C541" t="s">
        <v>532</v>
      </c>
      <c r="D541" s="3">
        <v>1</v>
      </c>
    </row>
    <row r="542" spans="3:4" ht="15">
      <c r="C542" t="s">
        <v>533</v>
      </c>
      <c r="D542" s="3">
        <v>1</v>
      </c>
    </row>
    <row r="543" spans="3:4" ht="15">
      <c r="C543" t="s">
        <v>534</v>
      </c>
      <c r="D543" s="3">
        <v>1</v>
      </c>
    </row>
    <row r="544" spans="3:4" ht="15">
      <c r="C544" t="s">
        <v>535</v>
      </c>
      <c r="D544" s="3">
        <v>1</v>
      </c>
    </row>
    <row r="545" spans="3:4" ht="15">
      <c r="C545" t="s">
        <v>536</v>
      </c>
      <c r="D545" s="3">
        <v>1</v>
      </c>
    </row>
    <row r="546" spans="3:4" ht="15">
      <c r="C546" t="s">
        <v>537</v>
      </c>
      <c r="D546" s="3">
        <v>1</v>
      </c>
    </row>
    <row r="547" spans="3:4" ht="15">
      <c r="C547" t="s">
        <v>538</v>
      </c>
      <c r="D547" s="3">
        <v>1</v>
      </c>
    </row>
    <row r="548" spans="3:4" ht="15">
      <c r="C548" t="s">
        <v>539</v>
      </c>
      <c r="D548" s="3">
        <v>1</v>
      </c>
    </row>
    <row r="549" spans="3:4" ht="15">
      <c r="C549" t="s">
        <v>540</v>
      </c>
      <c r="D549" s="3">
        <v>1</v>
      </c>
    </row>
    <row r="550" spans="3:4" ht="15">
      <c r="C550" t="s">
        <v>541</v>
      </c>
      <c r="D550" s="3">
        <v>1</v>
      </c>
    </row>
    <row r="551" spans="3:4" ht="15">
      <c r="C551" t="s">
        <v>542</v>
      </c>
      <c r="D551" s="3">
        <v>1</v>
      </c>
    </row>
    <row r="552" spans="3:4" ht="15">
      <c r="C552" t="s">
        <v>543</v>
      </c>
      <c r="D552" s="3">
        <v>1</v>
      </c>
    </row>
    <row r="553" spans="3:4" ht="15">
      <c r="C553" t="s">
        <v>544</v>
      </c>
      <c r="D553" s="3">
        <v>1</v>
      </c>
    </row>
    <row r="554" spans="3:4" ht="15">
      <c r="C554" t="s">
        <v>545</v>
      </c>
      <c r="D554" s="3">
        <v>1</v>
      </c>
    </row>
    <row r="555" spans="3:4" ht="15">
      <c r="C555" t="s">
        <v>546</v>
      </c>
      <c r="D555" s="3">
        <v>1</v>
      </c>
    </row>
    <row r="556" spans="3:4" ht="15">
      <c r="C556" t="s">
        <v>547</v>
      </c>
      <c r="D556" s="3">
        <v>1</v>
      </c>
    </row>
    <row r="557" spans="3:4" ht="15">
      <c r="C557" t="s">
        <v>548</v>
      </c>
      <c r="D557" s="3">
        <v>1</v>
      </c>
    </row>
    <row r="558" spans="3:4" ht="15">
      <c r="C558" t="s">
        <v>549</v>
      </c>
      <c r="D558" s="3">
        <v>1</v>
      </c>
    </row>
    <row r="559" spans="3:4" ht="15">
      <c r="C559" t="s">
        <v>550</v>
      </c>
      <c r="D559" s="3">
        <v>1</v>
      </c>
    </row>
    <row r="560" spans="3:4" ht="15">
      <c r="C560" t="s">
        <v>551</v>
      </c>
      <c r="D560" s="3">
        <v>1</v>
      </c>
    </row>
    <row r="561" spans="3:4" ht="15">
      <c r="C561" t="s">
        <v>552</v>
      </c>
      <c r="D561" s="3">
        <v>1</v>
      </c>
    </row>
    <row r="562" spans="3:4" ht="15">
      <c r="C562" t="s">
        <v>553</v>
      </c>
      <c r="D562" s="3">
        <v>1</v>
      </c>
    </row>
    <row r="563" spans="3:4" ht="15">
      <c r="C563" t="s">
        <v>554</v>
      </c>
      <c r="D563" s="3">
        <v>1</v>
      </c>
    </row>
    <row r="564" spans="3:4" ht="15">
      <c r="C564" t="s">
        <v>555</v>
      </c>
      <c r="D564" s="3">
        <v>1</v>
      </c>
    </row>
    <row r="565" spans="3:4" ht="15">
      <c r="C565" t="s">
        <v>556</v>
      </c>
      <c r="D565" s="3">
        <v>1</v>
      </c>
    </row>
    <row r="566" spans="3:4" ht="15">
      <c r="C566" t="s">
        <v>557</v>
      </c>
      <c r="D566" s="3">
        <v>1</v>
      </c>
    </row>
    <row r="567" spans="3:4" ht="15">
      <c r="C567" t="s">
        <v>558</v>
      </c>
      <c r="D567" s="3">
        <v>1</v>
      </c>
    </row>
    <row r="568" spans="3:4" ht="15">
      <c r="C568" t="s">
        <v>559</v>
      </c>
      <c r="D568" s="3">
        <v>1</v>
      </c>
    </row>
    <row r="569" spans="3:4" ht="15">
      <c r="C569" t="s">
        <v>560</v>
      </c>
      <c r="D569" s="3">
        <v>1</v>
      </c>
    </row>
    <row r="570" spans="3:4" ht="15">
      <c r="C570" t="s">
        <v>561</v>
      </c>
      <c r="D570" s="3">
        <v>1</v>
      </c>
    </row>
    <row r="571" spans="3:4" ht="15">
      <c r="C571" t="s">
        <v>562</v>
      </c>
      <c r="D571" s="3">
        <v>1</v>
      </c>
    </row>
    <row r="572" spans="3:4" ht="15">
      <c r="C572" t="s">
        <v>564</v>
      </c>
      <c r="D572" s="3">
        <v>1</v>
      </c>
    </row>
    <row r="573" spans="3:4" ht="15">
      <c r="C573" t="s">
        <v>565</v>
      </c>
      <c r="D573" s="3">
        <v>1</v>
      </c>
    </row>
    <row r="574" spans="3:4" ht="15">
      <c r="C574" t="s">
        <v>566</v>
      </c>
      <c r="D574" s="3">
        <v>1</v>
      </c>
    </row>
    <row r="575" spans="3:4" ht="15">
      <c r="C575" t="s">
        <v>567</v>
      </c>
      <c r="D575" s="3">
        <v>1</v>
      </c>
    </row>
    <row r="576" spans="3:4" ht="15">
      <c r="C576" t="s">
        <v>568</v>
      </c>
      <c r="D576" s="3">
        <v>1</v>
      </c>
    </row>
    <row r="577" spans="3:4" ht="15">
      <c r="C577" t="s">
        <v>569</v>
      </c>
      <c r="D577" s="3">
        <v>1</v>
      </c>
    </row>
    <row r="578" spans="3:4" ht="15">
      <c r="C578" t="s">
        <v>570</v>
      </c>
      <c r="D578" s="3">
        <v>1</v>
      </c>
    </row>
    <row r="579" spans="3:4" ht="15">
      <c r="C579" t="s">
        <v>571</v>
      </c>
      <c r="D579" s="3">
        <v>1</v>
      </c>
    </row>
    <row r="580" spans="3:4" ht="15">
      <c r="C580" t="s">
        <v>572</v>
      </c>
      <c r="D580" s="3">
        <v>1</v>
      </c>
    </row>
    <row r="581" spans="3:4" ht="15">
      <c r="C581" t="s">
        <v>573</v>
      </c>
      <c r="D581" s="3">
        <v>1</v>
      </c>
    </row>
    <row r="582" spans="3:4" ht="15">
      <c r="C582" t="s">
        <v>574</v>
      </c>
      <c r="D582" s="3">
        <v>1</v>
      </c>
    </row>
    <row r="583" spans="3:4" ht="15">
      <c r="C583" t="s">
        <v>575</v>
      </c>
      <c r="D583" s="3">
        <v>1</v>
      </c>
    </row>
    <row r="584" spans="3:4" ht="15">
      <c r="C584" t="s">
        <v>576</v>
      </c>
      <c r="D584" s="3">
        <v>1</v>
      </c>
    </row>
    <row r="585" spans="3:4" ht="15">
      <c r="C585" t="s">
        <v>577</v>
      </c>
      <c r="D585" s="3">
        <v>1</v>
      </c>
    </row>
    <row r="586" spans="3:4" ht="15">
      <c r="C586" t="s">
        <v>578</v>
      </c>
      <c r="D586" s="3">
        <v>1</v>
      </c>
    </row>
    <row r="587" spans="3:4" ht="15">
      <c r="C587" t="s">
        <v>579</v>
      </c>
      <c r="D587" s="3">
        <v>1</v>
      </c>
    </row>
    <row r="588" spans="3:4" ht="15">
      <c r="C588" t="s">
        <v>580</v>
      </c>
      <c r="D588" s="3">
        <v>1</v>
      </c>
    </row>
    <row r="589" spans="3:4" ht="15">
      <c r="C589" t="s">
        <v>581</v>
      </c>
      <c r="D589" s="3">
        <v>1</v>
      </c>
    </row>
    <row r="590" spans="3:4" ht="15">
      <c r="C590" t="s">
        <v>582</v>
      </c>
      <c r="D590" s="3">
        <v>1</v>
      </c>
    </row>
    <row r="591" spans="3:4" ht="15">
      <c r="C591" t="s">
        <v>583</v>
      </c>
      <c r="D591" s="3">
        <v>1</v>
      </c>
    </row>
    <row r="592" spans="3:4" ht="15">
      <c r="C592" t="s">
        <v>584</v>
      </c>
      <c r="D592" s="3">
        <v>1</v>
      </c>
    </row>
    <row r="593" spans="3:4" ht="15">
      <c r="C593" t="s">
        <v>585</v>
      </c>
      <c r="D593" s="3">
        <v>1</v>
      </c>
    </row>
    <row r="594" spans="3:4" ht="15">
      <c r="C594" t="s">
        <v>586</v>
      </c>
      <c r="D594" s="3">
        <v>1</v>
      </c>
    </row>
    <row r="595" spans="3:4" ht="15">
      <c r="C595" t="s">
        <v>587</v>
      </c>
      <c r="D595" s="3">
        <v>1</v>
      </c>
    </row>
    <row r="596" spans="3:4" ht="15">
      <c r="C596" t="s">
        <v>588</v>
      </c>
      <c r="D596" s="3">
        <v>1</v>
      </c>
    </row>
    <row r="597" spans="3:4" ht="15">
      <c r="C597" t="s">
        <v>589</v>
      </c>
      <c r="D597" s="3">
        <v>1</v>
      </c>
    </row>
    <row r="598" spans="3:4" ht="15">
      <c r="C598" t="s">
        <v>590</v>
      </c>
      <c r="D598" s="3">
        <v>1</v>
      </c>
    </row>
    <row r="599" spans="3:4" ht="15">
      <c r="C599" t="s">
        <v>591</v>
      </c>
      <c r="D599" s="3">
        <v>1</v>
      </c>
    </row>
    <row r="600" spans="3:4" ht="15">
      <c r="C600" t="s">
        <v>592</v>
      </c>
      <c r="D600" s="3">
        <v>1</v>
      </c>
    </row>
    <row r="601" spans="3:4" ht="15">
      <c r="C601" t="s">
        <v>593</v>
      </c>
      <c r="D601" s="3">
        <v>1</v>
      </c>
    </row>
    <row r="602" spans="3:4" ht="15">
      <c r="C602" t="s">
        <v>594</v>
      </c>
      <c r="D602" s="3">
        <v>1</v>
      </c>
    </row>
    <row r="603" spans="3:4" ht="15">
      <c r="C603" t="s">
        <v>595</v>
      </c>
      <c r="D603" s="3">
        <v>1</v>
      </c>
    </row>
    <row r="604" spans="3:4" ht="15">
      <c r="C604" t="s">
        <v>596</v>
      </c>
      <c r="D604" s="3">
        <v>1</v>
      </c>
    </row>
    <row r="605" spans="3:4" ht="15">
      <c r="C605" t="s">
        <v>597</v>
      </c>
      <c r="D605" s="3">
        <v>1</v>
      </c>
    </row>
    <row r="606" spans="3:4" ht="15">
      <c r="C606" t="s">
        <v>598</v>
      </c>
      <c r="D606" s="3">
        <v>1</v>
      </c>
    </row>
    <row r="607" spans="3:4" ht="15">
      <c r="C607" t="s">
        <v>599</v>
      </c>
      <c r="D607" s="3">
        <v>1</v>
      </c>
    </row>
    <row r="608" spans="3:4" ht="15">
      <c r="C608" t="s">
        <v>600</v>
      </c>
      <c r="D608" s="3">
        <v>1</v>
      </c>
    </row>
    <row r="609" spans="3:4" ht="15">
      <c r="C609" t="s">
        <v>601</v>
      </c>
      <c r="D609" s="3">
        <v>1</v>
      </c>
    </row>
    <row r="610" spans="3:4" ht="15">
      <c r="C610" t="s">
        <v>602</v>
      </c>
      <c r="D610" s="3">
        <v>1</v>
      </c>
    </row>
    <row r="611" spans="3:4" ht="15">
      <c r="C611" t="s">
        <v>603</v>
      </c>
      <c r="D611" s="3">
        <v>1</v>
      </c>
    </row>
    <row r="612" spans="3:4" ht="15">
      <c r="C612" t="s">
        <v>206</v>
      </c>
      <c r="D612" s="3">
        <v>1</v>
      </c>
    </row>
    <row r="613" spans="3:4" ht="15">
      <c r="C613" t="s">
        <v>604</v>
      </c>
      <c r="D613" s="3">
        <v>1</v>
      </c>
    </row>
    <row r="614" spans="3:4" ht="15">
      <c r="C614" t="s">
        <v>605</v>
      </c>
      <c r="D614" s="3">
        <v>1</v>
      </c>
    </row>
    <row r="615" spans="3:4" ht="15">
      <c r="C615" t="s">
        <v>606</v>
      </c>
      <c r="D615" s="3">
        <v>1</v>
      </c>
    </row>
    <row r="616" spans="3:4" ht="15">
      <c r="C616" t="s">
        <v>607</v>
      </c>
      <c r="D616" s="3">
        <v>1</v>
      </c>
    </row>
    <row r="617" spans="3:4" ht="15">
      <c r="C617" t="s">
        <v>608</v>
      </c>
      <c r="D617" s="3">
        <v>1</v>
      </c>
    </row>
    <row r="618" spans="3:4" ht="15">
      <c r="C618" t="s">
        <v>609</v>
      </c>
      <c r="D618" s="3">
        <v>1</v>
      </c>
    </row>
    <row r="619" spans="3:4" ht="15">
      <c r="C619" t="s">
        <v>610</v>
      </c>
      <c r="D619" s="3">
        <v>1</v>
      </c>
    </row>
    <row r="620" spans="3:4" ht="15">
      <c r="C620" t="s">
        <v>611</v>
      </c>
      <c r="D620" s="3">
        <v>1</v>
      </c>
    </row>
    <row r="621" spans="3:4" ht="15">
      <c r="C621" t="s">
        <v>612</v>
      </c>
      <c r="D621" s="3">
        <v>1</v>
      </c>
    </row>
    <row r="622" spans="3:4" ht="15">
      <c r="C622" t="s">
        <v>613</v>
      </c>
      <c r="D622" s="3">
        <v>1</v>
      </c>
    </row>
    <row r="623" spans="3:4" ht="15">
      <c r="C623" t="s">
        <v>614</v>
      </c>
      <c r="D623" s="3">
        <v>1</v>
      </c>
    </row>
    <row r="624" spans="3:4" ht="15">
      <c r="C624" t="s">
        <v>615</v>
      </c>
      <c r="D624" s="3">
        <v>1</v>
      </c>
    </row>
    <row r="625" spans="3:4" ht="15">
      <c r="C625" t="s">
        <v>616</v>
      </c>
      <c r="D625" s="3">
        <v>1</v>
      </c>
    </row>
    <row r="626" spans="3:4" ht="15">
      <c r="C626" t="s">
        <v>617</v>
      </c>
      <c r="D626" s="3">
        <v>1</v>
      </c>
    </row>
    <row r="627" spans="3:4" ht="15">
      <c r="C627" t="s">
        <v>618</v>
      </c>
      <c r="D627" s="3">
        <v>1</v>
      </c>
    </row>
    <row r="628" spans="3:4" ht="15">
      <c r="C628" t="s">
        <v>619</v>
      </c>
      <c r="D628" s="3">
        <v>1</v>
      </c>
    </row>
    <row r="629" spans="3:4" ht="15">
      <c r="C629" t="s">
        <v>620</v>
      </c>
      <c r="D629" s="3">
        <v>1</v>
      </c>
    </row>
    <row r="630" spans="3:4" ht="15">
      <c r="C630" t="s">
        <v>621</v>
      </c>
      <c r="D630" s="3">
        <v>1</v>
      </c>
    </row>
    <row r="631" spans="3:4" ht="15">
      <c r="C631" t="s">
        <v>622</v>
      </c>
      <c r="D631" s="3">
        <v>1</v>
      </c>
    </row>
    <row r="632" spans="3:4" ht="15">
      <c r="C632" t="s">
        <v>623</v>
      </c>
      <c r="D632" s="3">
        <v>1</v>
      </c>
    </row>
    <row r="633" spans="3:4" ht="15">
      <c r="C633" t="s">
        <v>624</v>
      </c>
      <c r="D633" s="3">
        <v>1</v>
      </c>
    </row>
    <row r="634" spans="3:4" ht="15">
      <c r="C634" t="s">
        <v>625</v>
      </c>
      <c r="D634" s="3">
        <v>1</v>
      </c>
    </row>
    <row r="635" spans="3:4" ht="15">
      <c r="C635" t="s">
        <v>626</v>
      </c>
      <c r="D635" s="3">
        <v>1</v>
      </c>
    </row>
    <row r="636" spans="3:4" ht="15">
      <c r="C636" t="s">
        <v>627</v>
      </c>
      <c r="D636" s="3">
        <v>1</v>
      </c>
    </row>
    <row r="637" spans="3:4" ht="15">
      <c r="C637" t="s">
        <v>628</v>
      </c>
      <c r="D637" s="3">
        <v>1</v>
      </c>
    </row>
    <row r="638" spans="3:4" ht="15">
      <c r="C638" t="s">
        <v>629</v>
      </c>
      <c r="D638" s="3">
        <v>1</v>
      </c>
    </row>
    <row r="639" spans="3:4" ht="15">
      <c r="C639" t="s">
        <v>630</v>
      </c>
      <c r="D639" s="3">
        <v>1</v>
      </c>
    </row>
    <row r="640" spans="3:4" ht="15">
      <c r="C640" t="s">
        <v>631</v>
      </c>
      <c r="D640" s="3">
        <v>1</v>
      </c>
    </row>
    <row r="641" spans="3:4" ht="15">
      <c r="C641" t="s">
        <v>632</v>
      </c>
      <c r="D641" s="3">
        <v>1</v>
      </c>
    </row>
    <row r="642" spans="3:4" ht="15">
      <c r="C642" t="s">
        <v>633</v>
      </c>
      <c r="D642" s="3">
        <v>1</v>
      </c>
    </row>
    <row r="643" spans="3:4" ht="15">
      <c r="C643" t="s">
        <v>634</v>
      </c>
      <c r="D643" s="3">
        <v>1</v>
      </c>
    </row>
    <row r="644" spans="3:4" ht="15">
      <c r="C644" t="s">
        <v>635</v>
      </c>
      <c r="D644" s="3">
        <v>1</v>
      </c>
    </row>
    <row r="645" spans="3:4" ht="15">
      <c r="C645" t="s">
        <v>636</v>
      </c>
      <c r="D645" s="3">
        <v>1</v>
      </c>
    </row>
    <row r="646" spans="3:4" ht="15">
      <c r="C646" t="s">
        <v>637</v>
      </c>
      <c r="D646" s="3">
        <v>1</v>
      </c>
    </row>
    <row r="647" spans="3:4" ht="15">
      <c r="C647" t="s">
        <v>638</v>
      </c>
      <c r="D647" s="3">
        <v>1</v>
      </c>
    </row>
    <row r="648" spans="3:4" ht="15">
      <c r="C648" t="s">
        <v>639</v>
      </c>
      <c r="D648" s="3">
        <v>1</v>
      </c>
    </row>
    <row r="649" spans="3:4" ht="15">
      <c r="C649" t="s">
        <v>640</v>
      </c>
      <c r="D649" s="3">
        <v>1</v>
      </c>
    </row>
    <row r="650" spans="3:4" ht="15">
      <c r="C650" t="s">
        <v>642</v>
      </c>
      <c r="D650" s="3">
        <v>1</v>
      </c>
    </row>
    <row r="651" spans="3:4" ht="15">
      <c r="C651" t="s">
        <v>643</v>
      </c>
      <c r="D651" s="3">
        <v>1</v>
      </c>
    </row>
    <row r="652" spans="3:4" ht="15">
      <c r="C652" t="s">
        <v>644</v>
      </c>
      <c r="D652" s="3">
        <v>1</v>
      </c>
    </row>
    <row r="653" spans="3:4" ht="15">
      <c r="C653" t="s">
        <v>645</v>
      </c>
      <c r="D653" s="3">
        <v>1</v>
      </c>
    </row>
    <row r="654" spans="3:4" ht="15">
      <c r="C654" t="s">
        <v>646</v>
      </c>
      <c r="D654" s="3">
        <v>1</v>
      </c>
    </row>
    <row r="655" spans="3:4" ht="15">
      <c r="C655" t="s">
        <v>647</v>
      </c>
      <c r="D655" s="3">
        <v>1</v>
      </c>
    </row>
    <row r="656" spans="3:4" ht="15">
      <c r="C656" t="s">
        <v>648</v>
      </c>
      <c r="D656" s="3">
        <v>1</v>
      </c>
    </row>
    <row r="657" spans="3:4" ht="15">
      <c r="C657" t="s">
        <v>649</v>
      </c>
      <c r="D657" s="3">
        <v>1</v>
      </c>
    </row>
    <row r="658" spans="3:4" ht="15">
      <c r="C658" t="s">
        <v>650</v>
      </c>
      <c r="D658" s="3">
        <v>1</v>
      </c>
    </row>
    <row r="659" spans="3:4" ht="15">
      <c r="C659" t="s">
        <v>651</v>
      </c>
      <c r="D659" s="3">
        <v>1</v>
      </c>
    </row>
    <row r="660" spans="3:4" ht="15">
      <c r="C660" t="s">
        <v>652</v>
      </c>
      <c r="D660" s="3">
        <v>1</v>
      </c>
    </row>
    <row r="661" spans="3:4" ht="15">
      <c r="C661" t="s">
        <v>653</v>
      </c>
      <c r="D661" s="3">
        <v>1</v>
      </c>
    </row>
    <row r="662" spans="3:4" ht="15">
      <c r="C662" t="s">
        <v>654</v>
      </c>
      <c r="D662" s="3">
        <v>1</v>
      </c>
    </row>
    <row r="663" spans="3:4" ht="15">
      <c r="C663" t="s">
        <v>655</v>
      </c>
      <c r="D663" s="3">
        <v>1</v>
      </c>
    </row>
    <row r="664" spans="3:4" ht="15">
      <c r="C664" t="s">
        <v>656</v>
      </c>
      <c r="D664" s="3">
        <v>1</v>
      </c>
    </row>
    <row r="665" spans="3:4" ht="15">
      <c r="C665" t="s">
        <v>657</v>
      </c>
      <c r="D665" s="3">
        <v>1</v>
      </c>
    </row>
    <row r="666" spans="3:4" ht="15">
      <c r="C666" t="s">
        <v>658</v>
      </c>
      <c r="D666" s="3">
        <v>1</v>
      </c>
    </row>
    <row r="667" spans="3:4" ht="15">
      <c r="C667" t="s">
        <v>659</v>
      </c>
      <c r="D667" s="3">
        <v>1</v>
      </c>
    </row>
    <row r="668" spans="3:4" ht="15">
      <c r="C668" t="s">
        <v>660</v>
      </c>
      <c r="D668" s="3">
        <v>1</v>
      </c>
    </row>
    <row r="669" spans="3:4" ht="15">
      <c r="C669" t="s">
        <v>661</v>
      </c>
      <c r="D669" s="3">
        <v>1</v>
      </c>
    </row>
    <row r="670" spans="3:4" ht="15">
      <c r="C670" t="s">
        <v>662</v>
      </c>
      <c r="D670" s="3">
        <v>1</v>
      </c>
    </row>
    <row r="671" spans="3:4" ht="15">
      <c r="C671" t="s">
        <v>663</v>
      </c>
      <c r="D671" s="3">
        <v>1</v>
      </c>
    </row>
    <row r="672" spans="3:4" ht="15">
      <c r="C672" t="s">
        <v>664</v>
      </c>
      <c r="D672" s="3">
        <v>1</v>
      </c>
    </row>
    <row r="673" spans="3:4" ht="15">
      <c r="C673" t="s">
        <v>225</v>
      </c>
      <c r="D673" s="3">
        <v>1</v>
      </c>
    </row>
    <row r="674" spans="3:4" ht="15">
      <c r="C674" t="s">
        <v>665</v>
      </c>
      <c r="D674" s="3">
        <v>1</v>
      </c>
    </row>
    <row r="675" spans="3:4" ht="15">
      <c r="C675" t="s">
        <v>666</v>
      </c>
      <c r="D675" s="3">
        <v>1</v>
      </c>
    </row>
    <row r="676" spans="3:4" ht="15">
      <c r="C676" t="s">
        <v>667</v>
      </c>
      <c r="D676" s="3">
        <v>1</v>
      </c>
    </row>
    <row r="677" spans="3:4" ht="15">
      <c r="C677" t="s">
        <v>668</v>
      </c>
      <c r="D677" s="3">
        <v>1</v>
      </c>
    </row>
    <row r="678" spans="3:4" ht="15">
      <c r="C678" t="s">
        <v>669</v>
      </c>
      <c r="D678" s="3">
        <v>1</v>
      </c>
    </row>
    <row r="679" spans="3:4" ht="15">
      <c r="C679" t="s">
        <v>670</v>
      </c>
      <c r="D679" s="3">
        <v>1</v>
      </c>
    </row>
    <row r="680" spans="3:4" ht="15">
      <c r="C680" t="s">
        <v>671</v>
      </c>
      <c r="D680" s="3">
        <v>1</v>
      </c>
    </row>
    <row r="681" spans="3:4" ht="15">
      <c r="C681" t="s">
        <v>672</v>
      </c>
      <c r="D681" s="3">
        <v>1</v>
      </c>
    </row>
    <row r="682" spans="3:4" ht="15">
      <c r="C682" t="s">
        <v>673</v>
      </c>
      <c r="D682" s="3">
        <v>1</v>
      </c>
    </row>
    <row r="683" spans="3:4" ht="15">
      <c r="C683" t="s">
        <v>674</v>
      </c>
      <c r="D683" s="3">
        <v>1</v>
      </c>
    </row>
    <row r="684" spans="3:4" ht="15">
      <c r="C684" t="s">
        <v>675</v>
      </c>
      <c r="D684" s="3">
        <v>1</v>
      </c>
    </row>
    <row r="685" spans="3:4" ht="15">
      <c r="C685" t="s">
        <v>676</v>
      </c>
      <c r="D685" s="3">
        <v>1</v>
      </c>
    </row>
    <row r="686" spans="3:4" ht="15">
      <c r="C686" t="s">
        <v>677</v>
      </c>
      <c r="D686" s="3">
        <v>1</v>
      </c>
    </row>
    <row r="687" spans="3:4" ht="15">
      <c r="C687" t="s">
        <v>678</v>
      </c>
      <c r="D687" s="3">
        <v>1</v>
      </c>
    </row>
    <row r="688" spans="3:4" ht="15">
      <c r="C688" t="s">
        <v>679</v>
      </c>
      <c r="D688" s="3">
        <v>1</v>
      </c>
    </row>
    <row r="689" spans="3:4" ht="15">
      <c r="C689" t="s">
        <v>680</v>
      </c>
      <c r="D689" s="3">
        <v>1</v>
      </c>
    </row>
    <row r="690" spans="3:4" ht="15">
      <c r="C690" t="s">
        <v>682</v>
      </c>
      <c r="D690" s="3">
        <v>1</v>
      </c>
    </row>
    <row r="691" spans="3:4" ht="15">
      <c r="C691" t="s">
        <v>683</v>
      </c>
      <c r="D691" s="3">
        <v>1</v>
      </c>
    </row>
    <row r="692" spans="3:4" ht="15">
      <c r="C692" t="s">
        <v>684</v>
      </c>
      <c r="D692" s="3">
        <v>1</v>
      </c>
    </row>
    <row r="693" spans="3:4" ht="15">
      <c r="C693" t="s">
        <v>685</v>
      </c>
      <c r="D693" s="3">
        <v>1</v>
      </c>
    </row>
    <row r="694" spans="3:4" ht="15">
      <c r="C694" t="s">
        <v>686</v>
      </c>
      <c r="D694" s="3">
        <v>1</v>
      </c>
    </row>
    <row r="695" spans="3:4" ht="15">
      <c r="C695" t="s">
        <v>687</v>
      </c>
      <c r="D695" s="3">
        <v>1</v>
      </c>
    </row>
    <row r="696" spans="3:4" ht="15">
      <c r="C696" t="s">
        <v>688</v>
      </c>
      <c r="D696" s="3">
        <v>1</v>
      </c>
    </row>
    <row r="697" spans="3:4" ht="15">
      <c r="C697" t="s">
        <v>689</v>
      </c>
      <c r="D697" s="3">
        <v>1</v>
      </c>
    </row>
    <row r="698" spans="3:4" ht="15">
      <c r="C698" t="s">
        <v>690</v>
      </c>
      <c r="D698" s="3">
        <v>1</v>
      </c>
    </row>
    <row r="699" spans="3:4" ht="15">
      <c r="C699" t="s">
        <v>691</v>
      </c>
      <c r="D699" s="3">
        <v>1</v>
      </c>
    </row>
    <row r="700" spans="3:4" ht="15">
      <c r="C700" t="s">
        <v>692</v>
      </c>
      <c r="D700" s="3">
        <v>1</v>
      </c>
    </row>
    <row r="701" spans="3:4" ht="15">
      <c r="C701" t="s">
        <v>693</v>
      </c>
      <c r="D701" s="3">
        <v>1</v>
      </c>
    </row>
    <row r="702" spans="3:4" ht="15">
      <c r="C702" t="s">
        <v>694</v>
      </c>
      <c r="D702" s="3">
        <v>1</v>
      </c>
    </row>
    <row r="703" spans="3:4" ht="15">
      <c r="C703" t="s">
        <v>695</v>
      </c>
      <c r="D703" s="3">
        <v>1</v>
      </c>
    </row>
    <row r="704" spans="3:4" ht="15">
      <c r="C704" t="s">
        <v>696</v>
      </c>
      <c r="D704" s="3">
        <v>1</v>
      </c>
    </row>
    <row r="705" spans="3:4" ht="15">
      <c r="C705" t="s">
        <v>697</v>
      </c>
      <c r="D705" s="3">
        <v>1</v>
      </c>
    </row>
    <row r="706" spans="3:4" ht="15">
      <c r="C706" t="s">
        <v>698</v>
      </c>
      <c r="D706" s="3">
        <v>1</v>
      </c>
    </row>
    <row r="707" spans="3:4" ht="15">
      <c r="C707" t="s">
        <v>699</v>
      </c>
      <c r="D707" s="3">
        <v>1</v>
      </c>
    </row>
    <row r="708" spans="3:4" ht="15">
      <c r="C708" t="s">
        <v>700</v>
      </c>
      <c r="D708" s="3">
        <v>1</v>
      </c>
    </row>
    <row r="709" spans="3:4" ht="15">
      <c r="C709" t="s">
        <v>701</v>
      </c>
      <c r="D709" s="3">
        <v>1</v>
      </c>
    </row>
    <row r="710" spans="3:4" ht="15">
      <c r="C710" t="s">
        <v>702</v>
      </c>
      <c r="D710" s="3">
        <v>1</v>
      </c>
    </row>
    <row r="711" spans="3:4" ht="15">
      <c r="C711" t="s">
        <v>703</v>
      </c>
      <c r="D711" s="3">
        <v>1</v>
      </c>
    </row>
    <row r="712" spans="3:4" ht="15">
      <c r="C712" t="s">
        <v>704</v>
      </c>
      <c r="D712" s="3">
        <v>1</v>
      </c>
    </row>
    <row r="713" spans="3:4" ht="15">
      <c r="C713" t="s">
        <v>705</v>
      </c>
      <c r="D713" s="3">
        <v>1</v>
      </c>
    </row>
    <row r="714" spans="3:4" ht="15">
      <c r="C714" t="s">
        <v>706</v>
      </c>
      <c r="D714" s="3">
        <v>1</v>
      </c>
    </row>
    <row r="715" spans="3:4" ht="15">
      <c r="C715" t="s">
        <v>245</v>
      </c>
      <c r="D715" s="3">
        <v>2</v>
      </c>
    </row>
    <row r="716" spans="3:4" ht="15">
      <c r="C716" t="s">
        <v>707</v>
      </c>
      <c r="D716" s="3">
        <v>1</v>
      </c>
    </row>
    <row r="717" spans="3:4" ht="15">
      <c r="C717" t="s">
        <v>708</v>
      </c>
      <c r="D717" s="3">
        <v>1</v>
      </c>
    </row>
    <row r="718" spans="3:4" ht="15">
      <c r="C718" t="s">
        <v>709</v>
      </c>
      <c r="D718" s="3">
        <v>1</v>
      </c>
    </row>
    <row r="719" spans="3:4" ht="15">
      <c r="C719" t="s">
        <v>710</v>
      </c>
      <c r="D719" s="3">
        <v>1</v>
      </c>
    </row>
    <row r="720" spans="3:4" ht="15">
      <c r="C720" t="s">
        <v>711</v>
      </c>
      <c r="D720" s="3">
        <v>1</v>
      </c>
    </row>
    <row r="721" spans="3:4" ht="15">
      <c r="C721" t="s">
        <v>712</v>
      </c>
      <c r="D721" s="3">
        <v>1</v>
      </c>
    </row>
    <row r="722" spans="3:4" ht="15">
      <c r="C722" t="s">
        <v>713</v>
      </c>
      <c r="D722" s="3">
        <v>1</v>
      </c>
    </row>
    <row r="723" spans="3:4" ht="15">
      <c r="C723" t="s">
        <v>714</v>
      </c>
      <c r="D723" s="3">
        <v>1</v>
      </c>
    </row>
    <row r="724" spans="3:4" ht="15">
      <c r="C724" t="s">
        <v>715</v>
      </c>
      <c r="D724" s="3">
        <v>1</v>
      </c>
    </row>
    <row r="725" spans="3:4" ht="15">
      <c r="C725" t="s">
        <v>716</v>
      </c>
      <c r="D725" s="3">
        <v>1</v>
      </c>
    </row>
    <row r="726" spans="3:4" ht="15">
      <c r="C726" t="s">
        <v>717</v>
      </c>
      <c r="D726" s="3">
        <v>1</v>
      </c>
    </row>
    <row r="727" spans="3:4" ht="15">
      <c r="C727" t="s">
        <v>718</v>
      </c>
      <c r="D727" s="3">
        <v>1</v>
      </c>
    </row>
    <row r="728" spans="3:4" ht="15">
      <c r="C728" t="s">
        <v>719</v>
      </c>
      <c r="D728" s="3">
        <v>1</v>
      </c>
    </row>
    <row r="729" spans="3:4" ht="15">
      <c r="C729" t="s">
        <v>720</v>
      </c>
      <c r="D729" s="3">
        <v>1</v>
      </c>
    </row>
    <row r="730" spans="3:4" ht="15">
      <c r="C730" t="s">
        <v>721</v>
      </c>
      <c r="D730" s="3">
        <v>1</v>
      </c>
    </row>
    <row r="731" spans="3:4" ht="15">
      <c r="C731" t="s">
        <v>722</v>
      </c>
      <c r="D731" s="3">
        <v>1</v>
      </c>
    </row>
    <row r="732" spans="3:4" ht="15">
      <c r="C732" t="s">
        <v>723</v>
      </c>
      <c r="D732" s="3">
        <v>1</v>
      </c>
    </row>
    <row r="733" spans="3:4" ht="15">
      <c r="C733" t="s">
        <v>724</v>
      </c>
      <c r="D733" s="3">
        <v>1</v>
      </c>
    </row>
    <row r="734" spans="3:4" ht="15">
      <c r="C734" t="s">
        <v>725</v>
      </c>
      <c r="D734" s="3">
        <v>1</v>
      </c>
    </row>
    <row r="735" spans="3:4" ht="15">
      <c r="C735" t="s">
        <v>726</v>
      </c>
      <c r="D735" s="3">
        <v>1</v>
      </c>
    </row>
    <row r="736" spans="3:4" ht="15">
      <c r="C736" t="s">
        <v>727</v>
      </c>
      <c r="D736" s="3">
        <v>1</v>
      </c>
    </row>
    <row r="737" spans="3:4" ht="15">
      <c r="C737" t="s">
        <v>728</v>
      </c>
      <c r="D737" s="3">
        <v>1</v>
      </c>
    </row>
    <row r="738" spans="3:4" ht="15">
      <c r="C738" t="s">
        <v>729</v>
      </c>
      <c r="D738" s="3">
        <v>1</v>
      </c>
    </row>
    <row r="739" spans="3:4" ht="15">
      <c r="C739" t="s">
        <v>730</v>
      </c>
      <c r="D739" s="3">
        <v>1</v>
      </c>
    </row>
    <row r="740" spans="3:4" ht="15">
      <c r="C740" t="s">
        <v>731</v>
      </c>
      <c r="D740" s="3">
        <v>1</v>
      </c>
    </row>
    <row r="741" spans="3:4" ht="15">
      <c r="C741" t="s">
        <v>732</v>
      </c>
      <c r="D741" s="3">
        <v>16</v>
      </c>
    </row>
    <row r="742" spans="3:4" ht="15">
      <c r="C742" t="s">
        <v>733</v>
      </c>
      <c r="D742" s="3">
        <v>1</v>
      </c>
    </row>
    <row r="743" spans="3:4" ht="15">
      <c r="C743" t="s">
        <v>734</v>
      </c>
      <c r="D743" s="3">
        <v>1</v>
      </c>
    </row>
    <row r="744" spans="3:4" ht="15">
      <c r="C744" t="s">
        <v>735</v>
      </c>
      <c r="D744" s="3">
        <v>1</v>
      </c>
    </row>
    <row r="745" spans="3:4" ht="15">
      <c r="C745" t="s">
        <v>736</v>
      </c>
      <c r="D745" s="3">
        <v>1</v>
      </c>
    </row>
    <row r="746" spans="3:4" ht="15">
      <c r="C746" t="s">
        <v>738</v>
      </c>
      <c r="D746" s="3">
        <v>1</v>
      </c>
    </row>
    <row r="747" spans="3:4" ht="15">
      <c r="C747" t="s">
        <v>739</v>
      </c>
      <c r="D747" s="3">
        <v>1</v>
      </c>
    </row>
    <row r="748" spans="3:4" ht="15">
      <c r="C748" t="s">
        <v>740</v>
      </c>
      <c r="D748" s="3">
        <v>1</v>
      </c>
    </row>
    <row r="749" spans="3:4" ht="15">
      <c r="C749" t="s">
        <v>741</v>
      </c>
      <c r="D749" s="3">
        <v>1</v>
      </c>
    </row>
    <row r="750" spans="3:4" ht="15">
      <c r="C750" t="s">
        <v>742</v>
      </c>
      <c r="D750" s="3">
        <v>1</v>
      </c>
    </row>
    <row r="751" spans="3:4" ht="15">
      <c r="C751" t="s">
        <v>743</v>
      </c>
      <c r="D751" s="3">
        <v>1</v>
      </c>
    </row>
    <row r="752" spans="3:4" ht="15">
      <c r="C752" t="s">
        <v>744</v>
      </c>
      <c r="D752" s="3">
        <v>1</v>
      </c>
    </row>
    <row r="753" spans="3:4" ht="15">
      <c r="C753" t="s">
        <v>745</v>
      </c>
      <c r="D753" s="3">
        <v>1</v>
      </c>
    </row>
    <row r="754" spans="3:4" ht="15">
      <c r="C754" t="s">
        <v>746</v>
      </c>
      <c r="D754" s="3">
        <v>1</v>
      </c>
    </row>
    <row r="755" spans="3:4" ht="15">
      <c r="C755" t="s">
        <v>747</v>
      </c>
      <c r="D755" s="3">
        <v>1</v>
      </c>
    </row>
    <row r="756" spans="3:4" ht="15">
      <c r="C756" t="s">
        <v>748</v>
      </c>
      <c r="D756" s="3">
        <v>1</v>
      </c>
    </row>
    <row r="757" spans="3:4" ht="15">
      <c r="C757" t="s">
        <v>749</v>
      </c>
      <c r="D757" s="3">
        <v>1</v>
      </c>
    </row>
    <row r="758" spans="3:4" ht="15">
      <c r="C758" t="s">
        <v>750</v>
      </c>
      <c r="D758" s="3">
        <v>1</v>
      </c>
    </row>
    <row r="759" spans="3:4" ht="15">
      <c r="C759" t="s">
        <v>751</v>
      </c>
      <c r="D759" s="3">
        <v>1</v>
      </c>
    </row>
    <row r="760" spans="2:4" ht="15">
      <c r="B760" t="s">
        <v>754</v>
      </c>
      <c r="D760" s="3">
        <v>4</v>
      </c>
    </row>
    <row r="761" spans="1:4" ht="15">
      <c r="A761" t="s">
        <v>10</v>
      </c>
      <c r="D761" s="3">
        <v>822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3"/>
  <sheetViews>
    <sheetView tabSelected="1" zoomScalePageLayoutView="0" workbookViewId="0" topLeftCell="A1">
      <selection activeCell="D13" sqref="D13"/>
    </sheetView>
  </sheetViews>
  <sheetFormatPr defaultColWidth="8.88671875" defaultRowHeight="15" customHeight="1"/>
  <cols>
    <col min="1" max="1" width="6.21484375" style="0" customWidth="1"/>
    <col min="2" max="2" width="8.21484375" style="0" bestFit="1" customWidth="1"/>
    <col min="3" max="3" width="43.21484375" style="0" bestFit="1" customWidth="1"/>
    <col min="4" max="4" width="37.21484375" style="0" customWidth="1"/>
    <col min="5" max="5" width="12.99609375" style="0" customWidth="1"/>
    <col min="6" max="6" width="5.77734375" style="0" customWidth="1"/>
    <col min="7" max="7" width="15.5546875" style="0" customWidth="1"/>
  </cols>
  <sheetData>
    <row r="1" spans="1:7" ht="15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5" customHeight="1">
      <c r="A2" s="1" t="str">
        <f>"0007"</f>
        <v>0007</v>
      </c>
      <c r="B2" s="1">
        <f>""</f>
      </c>
      <c r="C2" s="1" t="str">
        <f>"MAINTENANCE MACHINE SHED"</f>
        <v>MAINTENANCE MACHINE SHED</v>
      </c>
      <c r="D2" s="1">
        <f>""</f>
      </c>
      <c r="E2" s="1" t="str">
        <f aca="true" t="shared" si="0" ref="E2:E65">"College Station"</f>
        <v>College Station</v>
      </c>
      <c r="F2" s="1" t="str">
        <f aca="true" t="shared" si="1" ref="F2:F65">"77843"</f>
        <v>77843</v>
      </c>
      <c r="G2" t="s">
        <v>8</v>
      </c>
    </row>
    <row r="3" spans="1:7" ht="15" customHeight="1">
      <c r="A3" s="1" t="str">
        <f>"0010"</f>
        <v>0010</v>
      </c>
      <c r="B3" s="1">
        <f>""</f>
      </c>
      <c r="C3" s="1" t="str">
        <f>"IMPLEMENT BARN"</f>
        <v>IMPLEMENT BARN</v>
      </c>
      <c r="D3" s="1">
        <f>""</f>
      </c>
      <c r="E3" s="1" t="str">
        <f t="shared" si="0"/>
        <v>College Station</v>
      </c>
      <c r="F3" s="1" t="str">
        <f t="shared" si="1"/>
        <v>77843</v>
      </c>
      <c r="G3" t="s">
        <v>8</v>
      </c>
    </row>
    <row r="4" spans="1:7" ht="15" customHeight="1">
      <c r="A4" s="1" t="str">
        <f>"0014"</f>
        <v>0014</v>
      </c>
      <c r="B4" s="1">
        <f>""</f>
      </c>
      <c r="C4" s="1" t="str">
        <f>"IMPLEMENT STORAGE SHED"</f>
        <v>IMPLEMENT STORAGE SHED</v>
      </c>
      <c r="D4" s="1">
        <f>""</f>
      </c>
      <c r="E4" s="1" t="str">
        <f t="shared" si="0"/>
        <v>College Station</v>
      </c>
      <c r="F4" s="1" t="str">
        <f t="shared" si="1"/>
        <v>77843</v>
      </c>
      <c r="G4" t="s">
        <v>8</v>
      </c>
    </row>
    <row r="5" spans="1:7" ht="15" customHeight="1">
      <c r="A5" s="1" t="str">
        <f>"0027"</f>
        <v>0027</v>
      </c>
      <c r="B5" s="1">
        <f>""</f>
      </c>
      <c r="C5" s="1" t="str">
        <f>"BOXCAR - FEED STORAGE"</f>
        <v>BOXCAR - FEED STORAGE</v>
      </c>
      <c r="D5" s="1">
        <f>""</f>
      </c>
      <c r="E5" s="1" t="str">
        <f t="shared" si="0"/>
        <v>College Station</v>
      </c>
      <c r="F5" s="1" t="str">
        <f t="shared" si="1"/>
        <v>77843</v>
      </c>
      <c r="G5" t="s">
        <v>8</v>
      </c>
    </row>
    <row r="6" spans="1:7" ht="15" customHeight="1">
      <c r="A6" s="1" t="str">
        <f>"0039"</f>
        <v>0039</v>
      </c>
      <c r="B6" s="1" t="str">
        <f>"ARTF"</f>
        <v>ARTF</v>
      </c>
      <c r="C6" s="1" t="str">
        <f>"AQUACULTURE RESEARCH TEACHING FACILITY"</f>
        <v>AQUACULTURE RESEARCH TEACHING FACILITY</v>
      </c>
      <c r="D6" s="1">
        <f>""</f>
      </c>
      <c r="E6" s="1" t="str">
        <f t="shared" si="0"/>
        <v>College Station</v>
      </c>
      <c r="F6" s="1" t="str">
        <f t="shared" si="1"/>
        <v>77843</v>
      </c>
      <c r="G6" t="s">
        <v>8</v>
      </c>
    </row>
    <row r="7" spans="1:7" ht="15" customHeight="1">
      <c r="A7" s="1" t="str">
        <f>"0040"</f>
        <v>0040</v>
      </c>
      <c r="B7" s="1">
        <f>""</f>
      </c>
      <c r="C7" s="1" t="str">
        <f>"FIELD LAB AND OFFICE BLDG"</f>
        <v>FIELD LAB AND OFFICE BLDG</v>
      </c>
      <c r="D7" s="1">
        <f>""</f>
      </c>
      <c r="E7" s="1" t="str">
        <f t="shared" si="0"/>
        <v>College Station</v>
      </c>
      <c r="F7" s="1" t="str">
        <f t="shared" si="1"/>
        <v>77843</v>
      </c>
      <c r="G7" t="s">
        <v>8</v>
      </c>
    </row>
    <row r="8" spans="1:7" ht="15" customHeight="1">
      <c r="A8" s="1" t="str">
        <f>"0041"</f>
        <v>0041</v>
      </c>
      <c r="B8" s="1">
        <f>""</f>
      </c>
      <c r="C8" s="1" t="str">
        <f>"PLANTATION FIELD LAB &amp; OFFICE"</f>
        <v>PLANTATION FIELD LAB &amp; OFFICE</v>
      </c>
      <c r="D8" s="1">
        <f>""</f>
      </c>
      <c r="E8" s="1" t="str">
        <f t="shared" si="0"/>
        <v>College Station</v>
      </c>
      <c r="F8" s="1" t="str">
        <f t="shared" si="1"/>
        <v>77843</v>
      </c>
      <c r="G8" t="s">
        <v>8</v>
      </c>
    </row>
    <row r="9" spans="1:7" ht="15" customHeight="1">
      <c r="A9" s="1" t="str">
        <f>"0042"</f>
        <v>0042</v>
      </c>
      <c r="B9" s="1">
        <f>""</f>
      </c>
      <c r="C9" s="1" t="str">
        <f>"PLANTATION LAB EAST WING"</f>
        <v>PLANTATION LAB EAST WING</v>
      </c>
      <c r="D9" s="1">
        <f>""</f>
      </c>
      <c r="E9" s="1" t="str">
        <f t="shared" si="0"/>
        <v>College Station</v>
      </c>
      <c r="F9" s="1" t="str">
        <f t="shared" si="1"/>
        <v>77843</v>
      </c>
      <c r="G9" t="s">
        <v>8</v>
      </c>
    </row>
    <row r="10" spans="1:7" ht="15" customHeight="1">
      <c r="A10" s="1" t="str">
        <f>"0043"</f>
        <v>0043</v>
      </c>
      <c r="B10" s="1">
        <f>""</f>
      </c>
      <c r="C10" s="1" t="str">
        <f>"PLANTATION LAB MAINT SHED"</f>
        <v>PLANTATION LAB MAINT SHED</v>
      </c>
      <c r="D10" s="1">
        <f>""</f>
      </c>
      <c r="E10" s="1" t="str">
        <f t="shared" si="0"/>
        <v>College Station</v>
      </c>
      <c r="F10" s="1" t="str">
        <f t="shared" si="1"/>
        <v>77843</v>
      </c>
      <c r="G10" t="s">
        <v>8</v>
      </c>
    </row>
    <row r="11" spans="1:7" ht="15" customHeight="1">
      <c r="A11" s="1" t="str">
        <f>"0044"</f>
        <v>0044</v>
      </c>
      <c r="B11" s="1">
        <f>""</f>
      </c>
      <c r="C11" s="1" t="str">
        <f>"FARM SERVICE CHEMICAL STORAGE"</f>
        <v>FARM SERVICE CHEMICAL STORAGE</v>
      </c>
      <c r="D11" s="1">
        <f>""</f>
      </c>
      <c r="E11" s="1" t="str">
        <f t="shared" si="0"/>
        <v>College Station</v>
      </c>
      <c r="F11" s="1" t="str">
        <f t="shared" si="1"/>
        <v>77843</v>
      </c>
      <c r="G11" t="s">
        <v>8</v>
      </c>
    </row>
    <row r="12" spans="1:7" ht="15" customHeight="1">
      <c r="A12" s="1" t="str">
        <f>"0045"</f>
        <v>0045</v>
      </c>
      <c r="B12" s="1">
        <f>""</f>
      </c>
      <c r="C12" s="1" t="str">
        <f>"PLANTATION LAB WEST WING SHED"</f>
        <v>PLANTATION LAB WEST WING SHED</v>
      </c>
      <c r="D12" s="1">
        <f>""</f>
      </c>
      <c r="E12" s="1" t="str">
        <f t="shared" si="0"/>
        <v>College Station</v>
      </c>
      <c r="F12" s="1" t="str">
        <f t="shared" si="1"/>
        <v>77843</v>
      </c>
      <c r="G12" t="s">
        <v>8</v>
      </c>
    </row>
    <row r="13" spans="1:7" ht="15" customHeight="1">
      <c r="A13" s="1" t="str">
        <f>"0046"</f>
        <v>0046</v>
      </c>
      <c r="B13" s="1">
        <f>""</f>
      </c>
      <c r="C13" s="1" t="str">
        <f>"PLANTATION LAB NORTHWEST SHED"</f>
        <v>PLANTATION LAB NORTHWEST SHED</v>
      </c>
      <c r="D13" s="1">
        <f>""</f>
      </c>
      <c r="E13" s="1" t="str">
        <f t="shared" si="0"/>
        <v>College Station</v>
      </c>
      <c r="F13" s="1" t="str">
        <f t="shared" si="1"/>
        <v>77843</v>
      </c>
      <c r="G13" t="s">
        <v>8</v>
      </c>
    </row>
    <row r="14" spans="1:7" ht="15" customHeight="1">
      <c r="A14" s="1" t="str">
        <f>"0047"</f>
        <v>0047</v>
      </c>
      <c r="B14" s="1">
        <f>""</f>
      </c>
      <c r="C14" s="1" t="str">
        <f>"AQUATIC RESEARCH CENTER"</f>
        <v>AQUATIC RESEARCH CENTER</v>
      </c>
      <c r="D14" s="1">
        <f>""</f>
      </c>
      <c r="E14" s="1" t="str">
        <f t="shared" si="0"/>
        <v>College Station</v>
      </c>
      <c r="F14" s="1" t="str">
        <f t="shared" si="1"/>
        <v>77843</v>
      </c>
      <c r="G14" t="s">
        <v>8</v>
      </c>
    </row>
    <row r="15" spans="1:7" ht="15" customHeight="1">
      <c r="A15" s="1" t="str">
        <f>"0048"</f>
        <v>0048</v>
      </c>
      <c r="B15" s="1">
        <f>""</f>
      </c>
      <c r="C15" s="1" t="str">
        <f>"MARINE RESEARCH LAB"</f>
        <v>MARINE RESEARCH LAB</v>
      </c>
      <c r="D15" s="1">
        <f>""</f>
      </c>
      <c r="E15" s="1" t="str">
        <f t="shared" si="0"/>
        <v>College Station</v>
      </c>
      <c r="F15" s="1" t="str">
        <f t="shared" si="1"/>
        <v>77843</v>
      </c>
      <c r="G15" t="s">
        <v>8</v>
      </c>
    </row>
    <row r="16" spans="1:7" ht="15" customHeight="1">
      <c r="A16" s="1" t="str">
        <f>"0050"</f>
        <v>0050</v>
      </c>
      <c r="B16" s="1">
        <f>""</f>
      </c>
      <c r="C16" s="1" t="str">
        <f>"FIELD LAB EQUIPMENT SHED"</f>
        <v>FIELD LAB EQUIPMENT SHED</v>
      </c>
      <c r="D16" s="1">
        <f>""</f>
      </c>
      <c r="E16" s="1" t="str">
        <f t="shared" si="0"/>
        <v>College Station</v>
      </c>
      <c r="F16" s="1" t="str">
        <f t="shared" si="1"/>
        <v>77843</v>
      </c>
      <c r="G16" t="s">
        <v>8</v>
      </c>
    </row>
    <row r="17" spans="1:7" ht="15" customHeight="1">
      <c r="A17" s="1" t="str">
        <f>"0051"</f>
        <v>0051</v>
      </c>
      <c r="B17" s="1">
        <f>""</f>
      </c>
      <c r="C17" s="1" t="str">
        <f>"FIELD LAB IMPLEMENT SHED"</f>
        <v>FIELD LAB IMPLEMENT SHED</v>
      </c>
      <c r="D17" s="1">
        <f>""</f>
      </c>
      <c r="E17" s="1" t="str">
        <f t="shared" si="0"/>
        <v>College Station</v>
      </c>
      <c r="F17" s="1" t="str">
        <f t="shared" si="1"/>
        <v>77843</v>
      </c>
      <c r="G17" t="s">
        <v>8</v>
      </c>
    </row>
    <row r="18" spans="1:7" ht="15" customHeight="1">
      <c r="A18" s="1" t="str">
        <f>"0052"</f>
        <v>0052</v>
      </c>
      <c r="B18" s="1">
        <f>""</f>
      </c>
      <c r="C18" s="1" t="str">
        <f>"PUMP HOUSE"</f>
        <v>PUMP HOUSE</v>
      </c>
      <c r="D18" s="1">
        <f>""</f>
      </c>
      <c r="E18" s="1" t="str">
        <f t="shared" si="0"/>
        <v>College Station</v>
      </c>
      <c r="F18" s="1" t="str">
        <f t="shared" si="1"/>
        <v>77843</v>
      </c>
      <c r="G18" t="s">
        <v>8</v>
      </c>
    </row>
    <row r="19" spans="1:7" ht="15" customHeight="1">
      <c r="A19" s="1" t="str">
        <f>"0053"</f>
        <v>0053</v>
      </c>
      <c r="B19" s="1">
        <f>""</f>
      </c>
      <c r="C19" s="1" t="str">
        <f>"HATCHERY"</f>
        <v>HATCHERY</v>
      </c>
      <c r="D19" s="1">
        <f>""</f>
      </c>
      <c r="E19" s="1" t="str">
        <f t="shared" si="0"/>
        <v>College Station</v>
      </c>
      <c r="F19" s="1" t="str">
        <f t="shared" si="1"/>
        <v>77843</v>
      </c>
      <c r="G19" t="s">
        <v>8</v>
      </c>
    </row>
    <row r="20" spans="1:7" ht="15" customHeight="1">
      <c r="A20" s="1" t="str">
        <f>"0054"</f>
        <v>0054</v>
      </c>
      <c r="B20" s="1">
        <f>""</f>
      </c>
      <c r="C20" s="1" t="str">
        <f>"SAMPLE PROCESSING LABORATORY"</f>
        <v>SAMPLE PROCESSING LABORATORY</v>
      </c>
      <c r="D20" s="1">
        <f>""</f>
      </c>
      <c r="E20" s="1" t="str">
        <f t="shared" si="0"/>
        <v>College Station</v>
      </c>
      <c r="F20" s="1" t="str">
        <f t="shared" si="1"/>
        <v>77843</v>
      </c>
      <c r="G20" t="s">
        <v>8</v>
      </c>
    </row>
    <row r="21" spans="1:7" ht="15" customHeight="1">
      <c r="A21" s="1" t="str">
        <f>"0055"</f>
        <v>0055</v>
      </c>
      <c r="B21" s="1">
        <f>""</f>
      </c>
      <c r="C21" s="1" t="str">
        <f>"STORAGE SHED"</f>
        <v>STORAGE SHED</v>
      </c>
      <c r="D21" s="1">
        <f>""</f>
      </c>
      <c r="E21" s="1" t="str">
        <f t="shared" si="0"/>
        <v>College Station</v>
      </c>
      <c r="F21" s="1" t="str">
        <f t="shared" si="1"/>
        <v>77843</v>
      </c>
      <c r="G21" t="s">
        <v>8</v>
      </c>
    </row>
    <row r="22" spans="1:7" ht="15" customHeight="1">
      <c r="A22" s="1" t="str">
        <f>"0056"</f>
        <v>0056</v>
      </c>
      <c r="B22" s="1">
        <f>""</f>
      </c>
      <c r="C22" s="1" t="str">
        <f>"PHYSICAL PLANT UTILITIES"</f>
        <v>PHYSICAL PLANT UTILITIES</v>
      </c>
      <c r="D22" s="1">
        <f>""</f>
      </c>
      <c r="E22" s="1" t="str">
        <f t="shared" si="0"/>
        <v>College Station</v>
      </c>
      <c r="F22" s="1" t="str">
        <f t="shared" si="1"/>
        <v>77843</v>
      </c>
      <c r="G22" t="s">
        <v>8</v>
      </c>
    </row>
    <row r="23" spans="1:7" ht="15" customHeight="1">
      <c r="A23" s="1" t="str">
        <f>"0057"</f>
        <v>0057</v>
      </c>
      <c r="B23" s="1">
        <f>""</f>
      </c>
      <c r="C23" s="1" t="str">
        <f>"HATCHERY BLDG"</f>
        <v>HATCHERY BLDG</v>
      </c>
      <c r="D23" s="1">
        <f>""</f>
      </c>
      <c r="E23" s="1" t="str">
        <f t="shared" si="0"/>
        <v>College Station</v>
      </c>
      <c r="F23" s="1" t="str">
        <f t="shared" si="1"/>
        <v>77843</v>
      </c>
      <c r="G23" t="s">
        <v>8</v>
      </c>
    </row>
    <row r="24" spans="1:7" ht="15" customHeight="1">
      <c r="A24" s="1" t="str">
        <f>"0058"</f>
        <v>0058</v>
      </c>
      <c r="B24" s="1">
        <f>""</f>
      </c>
      <c r="C24" s="1" t="str">
        <f>"BEEF CONFINEMENT RESEARCH UNIT"</f>
        <v>BEEF CONFINEMENT RESEARCH UNIT</v>
      </c>
      <c r="D24" s="1">
        <f>""</f>
      </c>
      <c r="E24" s="1" t="str">
        <f t="shared" si="0"/>
        <v>College Station</v>
      </c>
      <c r="F24" s="1" t="str">
        <f t="shared" si="1"/>
        <v>77843</v>
      </c>
      <c r="G24" t="s">
        <v>8</v>
      </c>
    </row>
    <row r="25" spans="1:7" ht="15" customHeight="1">
      <c r="A25" s="1" t="str">
        <f>"0059"</f>
        <v>0059</v>
      </c>
      <c r="B25" s="1">
        <f>""</f>
      </c>
      <c r="C25" s="1" t="str">
        <f>"FARM SERVICE IMPLEMENT BARN"</f>
        <v>FARM SERVICE IMPLEMENT BARN</v>
      </c>
      <c r="D25" s="1">
        <f>""</f>
      </c>
      <c r="E25" s="1" t="str">
        <f t="shared" si="0"/>
        <v>College Station</v>
      </c>
      <c r="F25" s="1" t="str">
        <f t="shared" si="1"/>
        <v>77843</v>
      </c>
      <c r="G25" t="s">
        <v>8</v>
      </c>
    </row>
    <row r="26" spans="1:7" ht="15" customHeight="1">
      <c r="A26" s="1" t="str">
        <f>"0060"</f>
        <v>0060</v>
      </c>
      <c r="B26" s="1">
        <f>""</f>
      </c>
      <c r="C26" s="1" t="str">
        <f>"RAINWATER RESTROOM"</f>
        <v>RAINWATER RESTROOM</v>
      </c>
      <c r="D26" s="1">
        <f>""</f>
      </c>
      <c r="E26" s="1" t="str">
        <f t="shared" si="0"/>
        <v>College Station</v>
      </c>
      <c r="F26" s="1" t="str">
        <f t="shared" si="1"/>
        <v>77843</v>
      </c>
      <c r="G26" t="s">
        <v>8</v>
      </c>
    </row>
    <row r="27" spans="1:7" ht="15" customHeight="1">
      <c r="A27" s="1" t="str">
        <f>"0107"</f>
        <v>0107</v>
      </c>
      <c r="B27" s="1">
        <f>""</f>
      </c>
      <c r="C27" s="1" t="str">
        <f>"TRAILER HOUSE @ TERECO"</f>
        <v>TRAILER HOUSE @ TERECO</v>
      </c>
      <c r="D27" s="1">
        <f>""</f>
      </c>
      <c r="E27" s="1" t="str">
        <f t="shared" si="0"/>
        <v>College Station</v>
      </c>
      <c r="F27" s="1" t="str">
        <f t="shared" si="1"/>
        <v>77843</v>
      </c>
      <c r="G27" t="s">
        <v>8</v>
      </c>
    </row>
    <row r="28" spans="1:7" ht="15" customHeight="1">
      <c r="A28" s="1" t="str">
        <f>"0113"</f>
        <v>0113</v>
      </c>
      <c r="B28" s="1">
        <f>""</f>
      </c>
      <c r="C28" s="1" t="str">
        <f>"FARM SUPERINTENDENT HOUSE"</f>
        <v>FARM SUPERINTENDENT HOUSE</v>
      </c>
      <c r="D28" s="1">
        <f>""</f>
      </c>
      <c r="E28" s="1" t="str">
        <f t="shared" si="0"/>
        <v>College Station</v>
      </c>
      <c r="F28" s="1" t="str">
        <f t="shared" si="1"/>
        <v>77843</v>
      </c>
      <c r="G28" t="s">
        <v>8</v>
      </c>
    </row>
    <row r="29" spans="1:7" ht="15" customHeight="1">
      <c r="A29" s="1" t="str">
        <f>"0114"</f>
        <v>0114</v>
      </c>
      <c r="B29" s="1">
        <f>""</f>
      </c>
      <c r="C29" s="1" t="str">
        <f>"OFFICE METAL BUILDING"</f>
        <v>OFFICE METAL BUILDING</v>
      </c>
      <c r="D29" s="1">
        <f>""</f>
      </c>
      <c r="E29" s="1" t="str">
        <f t="shared" si="0"/>
        <v>College Station</v>
      </c>
      <c r="F29" s="1" t="str">
        <f t="shared" si="1"/>
        <v>77843</v>
      </c>
      <c r="G29" t="s">
        <v>8</v>
      </c>
    </row>
    <row r="30" spans="1:7" ht="15" customHeight="1">
      <c r="A30" s="1" t="str">
        <f>"0116"</f>
        <v>0116</v>
      </c>
      <c r="B30" s="1">
        <f>""</f>
      </c>
      <c r="C30" s="1" t="str">
        <f>"TVMC-WILDLIFE &amp; EXOTIC ANIMALS"</f>
        <v>TVMC-WILDLIFE &amp; EXOTIC ANIMALS</v>
      </c>
      <c r="D30" s="1">
        <f>""</f>
      </c>
      <c r="E30" s="1" t="str">
        <f t="shared" si="0"/>
        <v>College Station</v>
      </c>
      <c r="F30" s="1" t="str">
        <f t="shared" si="1"/>
        <v>77843</v>
      </c>
      <c r="G30" t="s">
        <v>8</v>
      </c>
    </row>
    <row r="31" spans="1:7" ht="15" customHeight="1">
      <c r="A31" s="1" t="str">
        <f>"0139"</f>
        <v>0139</v>
      </c>
      <c r="B31" s="1">
        <f>""</f>
      </c>
      <c r="C31" s="1" t="str">
        <f>"ESTI PRIVATE SECTOR OFFICE"</f>
        <v>ESTI PRIVATE SECTOR OFFICE</v>
      </c>
      <c r="D31" s="1" t="str">
        <f>"1595 Nuclear Science Rd."</f>
        <v>1595 Nuclear Science Rd.</v>
      </c>
      <c r="E31" s="1" t="str">
        <f t="shared" si="0"/>
        <v>College Station</v>
      </c>
      <c r="F31" s="1" t="str">
        <f t="shared" si="1"/>
        <v>77843</v>
      </c>
      <c r="G31" t="s">
        <v>9</v>
      </c>
    </row>
    <row r="32" spans="1:7" ht="15" customHeight="1">
      <c r="A32" s="1" t="str">
        <f>"0145"</f>
        <v>0145</v>
      </c>
      <c r="B32" s="1">
        <f>""</f>
      </c>
      <c r="C32" s="1" t="str">
        <f>"ESTI TECHNICAL EQUIPMENT STORAGE"</f>
        <v>ESTI TECHNICAL EQUIPMENT STORAGE</v>
      </c>
      <c r="D32" s="1" t="str">
        <f>"1595 Nuclear Science Rd."</f>
        <v>1595 Nuclear Science Rd.</v>
      </c>
      <c r="E32" s="1" t="str">
        <f t="shared" si="0"/>
        <v>College Station</v>
      </c>
      <c r="F32" s="1" t="str">
        <f t="shared" si="1"/>
        <v>77843</v>
      </c>
      <c r="G32" t="s">
        <v>9</v>
      </c>
    </row>
    <row r="33" spans="1:7" ht="15" customHeight="1">
      <c r="A33" s="1" t="str">
        <f>"0148"</f>
        <v>0148</v>
      </c>
      <c r="B33" s="1">
        <f>""</f>
      </c>
      <c r="C33" s="1" t="str">
        <f>"ESTI HAZ MAT CLASSROOM"</f>
        <v>ESTI HAZ MAT CLASSROOM</v>
      </c>
      <c r="D33" s="1" t="str">
        <f>"1595 Nuclear Science Rd."</f>
        <v>1595 Nuclear Science Rd.</v>
      </c>
      <c r="E33" s="1" t="str">
        <f t="shared" si="0"/>
        <v>College Station</v>
      </c>
      <c r="F33" s="1" t="str">
        <f t="shared" si="1"/>
        <v>77843</v>
      </c>
      <c r="G33" t="s">
        <v>9</v>
      </c>
    </row>
    <row r="34" spans="1:7" ht="15" customHeight="1">
      <c r="A34" s="1" t="str">
        <f>"0149"</f>
        <v>0149</v>
      </c>
      <c r="B34" s="1">
        <f>""</f>
      </c>
      <c r="C34" s="1" t="str">
        <f>"ESTI HAZ MAT OFFICE"</f>
        <v>ESTI HAZ MAT OFFICE</v>
      </c>
      <c r="D34" s="1" t="str">
        <f>"1595 Nuclear Science Rd."</f>
        <v>1595 Nuclear Science Rd.</v>
      </c>
      <c r="E34" s="1" t="str">
        <f t="shared" si="0"/>
        <v>College Station</v>
      </c>
      <c r="F34" s="1" t="str">
        <f t="shared" si="1"/>
        <v>77843</v>
      </c>
      <c r="G34" t="s">
        <v>9</v>
      </c>
    </row>
    <row r="35" spans="1:7" ht="15" customHeight="1">
      <c r="A35" s="1" t="str">
        <f>"0170"</f>
        <v>0170</v>
      </c>
      <c r="B35" s="1">
        <f>""</f>
      </c>
      <c r="C35" s="1" t="str">
        <f>"TVMC-DEER SHELTER"</f>
        <v>TVMC-DEER SHELTER</v>
      </c>
      <c r="D35" s="1">
        <f>""</f>
      </c>
      <c r="E35" s="1" t="str">
        <f t="shared" si="0"/>
        <v>College Station</v>
      </c>
      <c r="F35" s="1" t="str">
        <f t="shared" si="1"/>
        <v>77843</v>
      </c>
      <c r="G35" t="s">
        <v>8</v>
      </c>
    </row>
    <row r="36" spans="1:7" ht="15" customHeight="1">
      <c r="A36" s="1" t="str">
        <f>"0276"</f>
        <v>0276</v>
      </c>
      <c r="B36" s="1">
        <f>""</f>
      </c>
      <c r="C36" s="1" t="str">
        <f>"TX FOREST SERVICE GREENHOUSE"</f>
        <v>TX FOREST SERVICE GREENHOUSE</v>
      </c>
      <c r="D36" s="1">
        <f>""</f>
      </c>
      <c r="E36" s="1" t="str">
        <f t="shared" si="0"/>
        <v>College Station</v>
      </c>
      <c r="F36" s="1" t="str">
        <f t="shared" si="1"/>
        <v>77843</v>
      </c>
      <c r="G36" t="s">
        <v>8</v>
      </c>
    </row>
    <row r="37" spans="1:7" ht="15" customHeight="1">
      <c r="A37" s="1" t="str">
        <f>"0277"</f>
        <v>0277</v>
      </c>
      <c r="B37" s="1">
        <f>""</f>
      </c>
      <c r="C37" s="1" t="str">
        <f>"TX FOREST SERVICE GREENHOUSE"</f>
        <v>TX FOREST SERVICE GREENHOUSE</v>
      </c>
      <c r="D37" s="1">
        <f>""</f>
      </c>
      <c r="E37" s="1" t="str">
        <f t="shared" si="0"/>
        <v>College Station</v>
      </c>
      <c r="F37" s="1" t="str">
        <f t="shared" si="1"/>
        <v>77843</v>
      </c>
      <c r="G37" t="s">
        <v>8</v>
      </c>
    </row>
    <row r="38" spans="1:7" ht="15" customHeight="1">
      <c r="A38" s="1" t="str">
        <f>"0278"</f>
        <v>0278</v>
      </c>
      <c r="B38" s="1">
        <f>""</f>
      </c>
      <c r="C38" s="1" t="str">
        <f>"TX FOREST SERVICE GREENHOUSE"</f>
        <v>TX FOREST SERVICE GREENHOUSE</v>
      </c>
      <c r="D38" s="1">
        <f>""</f>
      </c>
      <c r="E38" s="1" t="str">
        <f t="shared" si="0"/>
        <v>College Station</v>
      </c>
      <c r="F38" s="1" t="str">
        <f t="shared" si="1"/>
        <v>77843</v>
      </c>
      <c r="G38" t="s">
        <v>8</v>
      </c>
    </row>
    <row r="39" spans="1:7" ht="15" customHeight="1">
      <c r="A39" s="1" t="str">
        <f>"0279"</f>
        <v>0279</v>
      </c>
      <c r="B39" s="1">
        <f>""</f>
      </c>
      <c r="C39" s="1" t="str">
        <f>"TX FOREST SERVICE GH HEADHOUSE"</f>
        <v>TX FOREST SERVICE GH HEADHOUSE</v>
      </c>
      <c r="D39" s="1">
        <f>""</f>
      </c>
      <c r="E39" s="1" t="str">
        <f t="shared" si="0"/>
        <v>College Station</v>
      </c>
      <c r="F39" s="1" t="str">
        <f t="shared" si="1"/>
        <v>77843</v>
      </c>
      <c r="G39" t="s">
        <v>8</v>
      </c>
    </row>
    <row r="40" spans="1:7" ht="15" customHeight="1">
      <c r="A40" s="1" t="str">
        <f>"0290"</f>
        <v>0290</v>
      </c>
      <c r="B40" s="1" t="str">
        <f>"WELL"</f>
        <v>WELL</v>
      </c>
      <c r="C40" s="1" t="str">
        <f>"WELLS RESIDENCE HALL"</f>
        <v>WELLS RESIDENCE HALL</v>
      </c>
      <c r="D40" s="1" t="str">
        <f>"700 Mosher Ln."</f>
        <v>700 Mosher Ln.</v>
      </c>
      <c r="E40" s="1" t="str">
        <f t="shared" si="0"/>
        <v>College Station</v>
      </c>
      <c r="F40" s="1" t="str">
        <f t="shared" si="1"/>
        <v>77843</v>
      </c>
      <c r="G40" t="s">
        <v>9</v>
      </c>
    </row>
    <row r="41" spans="1:7" ht="15" customHeight="1">
      <c r="A41" s="1" t="str">
        <f>"0291"</f>
        <v>0291</v>
      </c>
      <c r="B41" s="1" t="str">
        <f>"RUDD"</f>
        <v>RUDD</v>
      </c>
      <c r="C41" s="1" t="str">
        <f>"RUDDER RESIDENCE HALL"</f>
        <v>RUDDER RESIDENCE HALL</v>
      </c>
      <c r="D41" s="1" t="str">
        <f>"770 Mosher Ln."</f>
        <v>770 Mosher Ln.</v>
      </c>
      <c r="E41" s="1" t="str">
        <f t="shared" si="0"/>
        <v>College Station</v>
      </c>
      <c r="F41" s="1" t="str">
        <f t="shared" si="1"/>
        <v>77843</v>
      </c>
      <c r="G41" t="s">
        <v>9</v>
      </c>
    </row>
    <row r="42" spans="1:7" ht="15" customHeight="1">
      <c r="A42" s="1" t="str">
        <f>"0292"</f>
        <v>0292</v>
      </c>
      <c r="B42" s="1" t="str">
        <f>"EPPR"</f>
        <v>EPPR</v>
      </c>
      <c r="C42" s="1" t="str">
        <f>"EPPRIGHT RESIDENCE HALL"</f>
        <v>EPPRIGHT RESIDENCE HALL</v>
      </c>
      <c r="D42" s="1" t="str">
        <f>"695 Spence St."</f>
        <v>695 Spence St.</v>
      </c>
      <c r="E42" s="1" t="str">
        <f t="shared" si="0"/>
        <v>College Station</v>
      </c>
      <c r="F42" s="1" t="str">
        <f t="shared" si="1"/>
        <v>77843</v>
      </c>
      <c r="G42" t="s">
        <v>9</v>
      </c>
    </row>
    <row r="43" spans="1:7" ht="15" customHeight="1">
      <c r="A43" s="1" t="str">
        <f>"0293"</f>
        <v>0293</v>
      </c>
      <c r="B43" s="1" t="str">
        <f>"APPE"</f>
        <v>APPE</v>
      </c>
      <c r="C43" s="1" t="str">
        <f>"APPELT RESIDENCE HALL"</f>
        <v>APPELT RESIDENCE HALL</v>
      </c>
      <c r="D43" s="1" t="str">
        <f>"660 Mosher Ln."</f>
        <v>660 Mosher Ln.</v>
      </c>
      <c r="E43" s="1" t="str">
        <f t="shared" si="0"/>
        <v>College Station</v>
      </c>
      <c r="F43" s="1" t="str">
        <f t="shared" si="1"/>
        <v>77843</v>
      </c>
      <c r="G43" t="s">
        <v>9</v>
      </c>
    </row>
    <row r="44" spans="1:7" ht="15" customHeight="1">
      <c r="A44" s="1" t="str">
        <f>"0294"</f>
        <v>0294</v>
      </c>
      <c r="B44" s="1" t="str">
        <f>"LECH"</f>
        <v>LECH</v>
      </c>
      <c r="C44" s="1" t="str">
        <f>"LECHNER RESIDENCE HALL"</f>
        <v>LECHNER RESIDENCE HALL</v>
      </c>
      <c r="D44" s="1" t="str">
        <f>"232 Houston St."</f>
        <v>232 Houston St.</v>
      </c>
      <c r="E44" s="1" t="str">
        <f t="shared" si="0"/>
        <v>College Station</v>
      </c>
      <c r="F44" s="1" t="str">
        <f t="shared" si="1"/>
        <v>77843</v>
      </c>
      <c r="G44" t="s">
        <v>9</v>
      </c>
    </row>
    <row r="45" spans="1:7" ht="15" customHeight="1">
      <c r="A45" s="1" t="str">
        <f>"0296"</f>
        <v>0296</v>
      </c>
      <c r="B45" s="1" t="str">
        <f>"MIST"</f>
        <v>MIST</v>
      </c>
      <c r="C45" s="1" t="str">
        <f>"MITCHELL INST. FOR FUNDAMENTAL PHYS. AND ASTRONOMY"</f>
        <v>MITCHELL INST. FOR FUNDAMENTAL PHYS. AND ASTRONOMY</v>
      </c>
      <c r="D45" s="1" t="str">
        <f>"576 University"</f>
        <v>576 University</v>
      </c>
      <c r="E45" s="1" t="str">
        <f t="shared" si="0"/>
        <v>College Station</v>
      </c>
      <c r="F45" s="1" t="str">
        <f t="shared" si="1"/>
        <v>77843</v>
      </c>
      <c r="G45" t="s">
        <v>9</v>
      </c>
    </row>
    <row r="46" spans="1:7" ht="15" customHeight="1">
      <c r="A46" s="1" t="str">
        <f>"0297"</f>
        <v>0297</v>
      </c>
      <c r="B46" s="1" t="str">
        <f>"MPHY"</f>
        <v>MPHY</v>
      </c>
      <c r="C46" s="1" t="str">
        <f>"MITCHELL PHYSICS BUILDING"</f>
        <v>MITCHELL PHYSICS BUILDING</v>
      </c>
      <c r="D46" s="1" t="str">
        <f>"578 University"</f>
        <v>578 University</v>
      </c>
      <c r="E46" s="1" t="str">
        <f t="shared" si="0"/>
        <v>College Station</v>
      </c>
      <c r="F46" s="1" t="str">
        <f t="shared" si="1"/>
        <v>77843</v>
      </c>
      <c r="G46" t="s">
        <v>9</v>
      </c>
    </row>
    <row r="47" spans="1:7" ht="15" customHeight="1">
      <c r="A47" s="1" t="str">
        <f>"0298"</f>
        <v>0298</v>
      </c>
      <c r="B47" s="1">
        <f>""</f>
      </c>
      <c r="C47" s="1" t="str">
        <f>"ESTI ELECTRICAL BUILDING"</f>
        <v>ESTI ELECTRICAL BUILDING</v>
      </c>
      <c r="D47" s="1">
        <f>""</f>
      </c>
      <c r="E47" s="1" t="str">
        <f t="shared" si="0"/>
        <v>College Station</v>
      </c>
      <c r="F47" s="1" t="str">
        <f t="shared" si="1"/>
        <v>77843</v>
      </c>
      <c r="G47" t="s">
        <v>8</v>
      </c>
    </row>
    <row r="48" spans="1:7" ht="15" customHeight="1">
      <c r="A48" s="1" t="str">
        <f>"0299"</f>
        <v>0299</v>
      </c>
      <c r="B48" s="1">
        <f>""</f>
      </c>
      <c r="C48" s="1" t="str">
        <f>"ESTI CONTROL BUILDING"</f>
        <v>ESTI CONTROL BUILDING</v>
      </c>
      <c r="D48" s="1">
        <f>""</f>
      </c>
      <c r="E48" s="1" t="str">
        <f t="shared" si="0"/>
        <v>College Station</v>
      </c>
      <c r="F48" s="1" t="str">
        <f t="shared" si="1"/>
        <v>77843</v>
      </c>
      <c r="G48" t="s">
        <v>8</v>
      </c>
    </row>
    <row r="49" spans="1:7" ht="15" customHeight="1">
      <c r="A49" s="1" t="str">
        <f>"0301"</f>
        <v>0301</v>
      </c>
      <c r="B49" s="1">
        <f>""</f>
      </c>
      <c r="C49" s="1" t="str">
        <f>"ESTI PUMP OPERATIONS BUILDING"</f>
        <v>ESTI PUMP OPERATIONS BUILDING</v>
      </c>
      <c r="D49" s="1" t="str">
        <f aca="true" t="shared" si="2" ref="D49:D64">"1595 Nuclear Science Rd."</f>
        <v>1595 Nuclear Science Rd.</v>
      </c>
      <c r="E49" s="1" t="str">
        <f t="shared" si="0"/>
        <v>College Station</v>
      </c>
      <c r="F49" s="1" t="str">
        <f t="shared" si="1"/>
        <v>77843</v>
      </c>
      <c r="G49" t="s">
        <v>9</v>
      </c>
    </row>
    <row r="50" spans="1:7" ht="15" customHeight="1">
      <c r="A50" s="1" t="str">
        <f>"0302"</f>
        <v>0302</v>
      </c>
      <c r="B50" s="1">
        <f>""</f>
      </c>
      <c r="C50" s="1" t="str">
        <f>"ESTI PUMP OPERATIONS BUILDING"</f>
        <v>ESTI PUMP OPERATIONS BUILDING</v>
      </c>
      <c r="D50" s="1" t="str">
        <f t="shared" si="2"/>
        <v>1595 Nuclear Science Rd.</v>
      </c>
      <c r="E50" s="1" t="str">
        <f t="shared" si="0"/>
        <v>College Station</v>
      </c>
      <c r="F50" s="1" t="str">
        <f t="shared" si="1"/>
        <v>77843</v>
      </c>
      <c r="G50" t="s">
        <v>9</v>
      </c>
    </row>
    <row r="51" spans="1:7" ht="15" customHeight="1">
      <c r="A51" s="1" t="str">
        <f>"0303"</f>
        <v>0303</v>
      </c>
      <c r="B51" s="1">
        <f>""</f>
      </c>
      <c r="C51" s="1" t="str">
        <f>"ESTI PUMP OPERATIONS BUILDING"</f>
        <v>ESTI PUMP OPERATIONS BUILDING</v>
      </c>
      <c r="D51" s="1" t="str">
        <f t="shared" si="2"/>
        <v>1595 Nuclear Science Rd.</v>
      </c>
      <c r="E51" s="1" t="str">
        <f t="shared" si="0"/>
        <v>College Station</v>
      </c>
      <c r="F51" s="1" t="str">
        <f t="shared" si="1"/>
        <v>77843</v>
      </c>
      <c r="G51" t="s">
        <v>9</v>
      </c>
    </row>
    <row r="52" spans="1:7" ht="15" customHeight="1">
      <c r="A52" s="1" t="str">
        <f>"0304"</f>
        <v>0304</v>
      </c>
      <c r="B52" s="1">
        <f>""</f>
      </c>
      <c r="C52" s="1" t="str">
        <f>"ESTI PUMP OPERATIONS BUILDING"</f>
        <v>ESTI PUMP OPERATIONS BUILDING</v>
      </c>
      <c r="D52" s="1" t="str">
        <f t="shared" si="2"/>
        <v>1595 Nuclear Science Rd.</v>
      </c>
      <c r="E52" s="1" t="str">
        <f t="shared" si="0"/>
        <v>College Station</v>
      </c>
      <c r="F52" s="1" t="str">
        <f t="shared" si="1"/>
        <v>77843</v>
      </c>
      <c r="G52" t="s">
        <v>9</v>
      </c>
    </row>
    <row r="53" spans="1:7" ht="15" customHeight="1">
      <c r="A53" s="1" t="str">
        <f>"0307"</f>
        <v>0307</v>
      </c>
      <c r="B53" s="1">
        <f>""</f>
      </c>
      <c r="C53" s="1" t="str">
        <f>"ESTI DRILL TOWER"</f>
        <v>ESTI DRILL TOWER</v>
      </c>
      <c r="D53" s="1" t="str">
        <f t="shared" si="2"/>
        <v>1595 Nuclear Science Rd.</v>
      </c>
      <c r="E53" s="1" t="str">
        <f t="shared" si="0"/>
        <v>College Station</v>
      </c>
      <c r="F53" s="1" t="str">
        <f t="shared" si="1"/>
        <v>77843</v>
      </c>
      <c r="G53" t="s">
        <v>9</v>
      </c>
    </row>
    <row r="54" spans="1:7" ht="15" customHeight="1">
      <c r="A54" s="1" t="str">
        <f>"0308"</f>
        <v>0308</v>
      </c>
      <c r="B54" s="1">
        <f>""</f>
      </c>
      <c r="C54" s="1" t="str">
        <f>"ESTI BREATHING APPARATUS MAZE"</f>
        <v>ESTI BREATHING APPARATUS MAZE</v>
      </c>
      <c r="D54" s="1" t="str">
        <f t="shared" si="2"/>
        <v>1595 Nuclear Science Rd.</v>
      </c>
      <c r="E54" s="1" t="str">
        <f t="shared" si="0"/>
        <v>College Station</v>
      </c>
      <c r="F54" s="1" t="str">
        <f t="shared" si="1"/>
        <v>77843</v>
      </c>
      <c r="G54" t="s">
        <v>9</v>
      </c>
    </row>
    <row r="55" spans="1:7" ht="15" customHeight="1">
      <c r="A55" s="1" t="str">
        <f>"0314"</f>
        <v>0314</v>
      </c>
      <c r="B55" s="1">
        <f>""</f>
      </c>
      <c r="C55" s="1" t="str">
        <f>"ESTI BREATHING APPARATUS STORAGE"</f>
        <v>ESTI BREATHING APPARATUS STORAGE</v>
      </c>
      <c r="D55" s="1" t="str">
        <f t="shared" si="2"/>
        <v>1595 Nuclear Science Rd.</v>
      </c>
      <c r="E55" s="1" t="str">
        <f t="shared" si="0"/>
        <v>College Station</v>
      </c>
      <c r="F55" s="1" t="str">
        <f t="shared" si="1"/>
        <v>77843</v>
      </c>
      <c r="G55" t="s">
        <v>9</v>
      </c>
    </row>
    <row r="56" spans="1:7" ht="15" customHeight="1">
      <c r="A56" s="1" t="str">
        <f>"0315"</f>
        <v>0315</v>
      </c>
      <c r="B56" s="1">
        <f>""</f>
      </c>
      <c r="C56" s="1" t="str">
        <f>"ESTI PUMP MAINTENANCE BUILDING"</f>
        <v>ESTI PUMP MAINTENANCE BUILDING</v>
      </c>
      <c r="D56" s="1" t="str">
        <f t="shared" si="2"/>
        <v>1595 Nuclear Science Rd.</v>
      </c>
      <c r="E56" s="1" t="str">
        <f t="shared" si="0"/>
        <v>College Station</v>
      </c>
      <c r="F56" s="1" t="str">
        <f t="shared" si="1"/>
        <v>77843</v>
      </c>
      <c r="G56" t="s">
        <v>9</v>
      </c>
    </row>
    <row r="57" spans="1:7" ht="15" customHeight="1">
      <c r="A57" s="1" t="str">
        <f>"0320"</f>
        <v>0320</v>
      </c>
      <c r="B57" s="1">
        <f>""</f>
      </c>
      <c r="C57" s="1" t="str">
        <f>"ESTI SPRINKLER SYSTEMS"</f>
        <v>ESTI SPRINKLER SYSTEMS</v>
      </c>
      <c r="D57" s="1" t="str">
        <f t="shared" si="2"/>
        <v>1595 Nuclear Science Rd.</v>
      </c>
      <c r="E57" s="1" t="str">
        <f t="shared" si="0"/>
        <v>College Station</v>
      </c>
      <c r="F57" s="1" t="str">
        <f t="shared" si="1"/>
        <v>77843</v>
      </c>
      <c r="G57" t="s">
        <v>9</v>
      </c>
    </row>
    <row r="58" spans="1:7" ht="15" customHeight="1">
      <c r="A58" s="1" t="str">
        <f>"0323"</f>
        <v>0323</v>
      </c>
      <c r="B58" s="1">
        <f>""</f>
      </c>
      <c r="C58" s="1" t="str">
        <f>"ESTI HAY BARN"</f>
        <v>ESTI HAY BARN</v>
      </c>
      <c r="D58" s="1" t="str">
        <f t="shared" si="2"/>
        <v>1595 Nuclear Science Rd.</v>
      </c>
      <c r="E58" s="1" t="str">
        <f t="shared" si="0"/>
        <v>College Station</v>
      </c>
      <c r="F58" s="1" t="str">
        <f t="shared" si="1"/>
        <v>77843</v>
      </c>
      <c r="G58" t="s">
        <v>9</v>
      </c>
    </row>
    <row r="59" spans="1:7" ht="15" customHeight="1">
      <c r="A59" s="1" t="str">
        <f>"0324"</f>
        <v>0324</v>
      </c>
      <c r="B59" s="1">
        <f>""</f>
      </c>
      <c r="C59" s="1" t="str">
        <f>"ESTI WOOD STORAGE"</f>
        <v>ESTI WOOD STORAGE</v>
      </c>
      <c r="D59" s="1" t="str">
        <f t="shared" si="2"/>
        <v>1595 Nuclear Science Rd.</v>
      </c>
      <c r="E59" s="1" t="str">
        <f t="shared" si="0"/>
        <v>College Station</v>
      </c>
      <c r="F59" s="1" t="str">
        <f t="shared" si="1"/>
        <v>77843</v>
      </c>
      <c r="G59" t="s">
        <v>9</v>
      </c>
    </row>
    <row r="60" spans="1:7" ht="15" customHeight="1">
      <c r="A60" s="1" t="str">
        <f>"0342"</f>
        <v>0342</v>
      </c>
      <c r="B60" s="1">
        <f>""</f>
      </c>
      <c r="C60" s="1" t="str">
        <f>"ESTI FIELD MAINTENANCE OFFICE"</f>
        <v>ESTI FIELD MAINTENANCE OFFICE</v>
      </c>
      <c r="D60" s="1" t="str">
        <f t="shared" si="2"/>
        <v>1595 Nuclear Science Rd.</v>
      </c>
      <c r="E60" s="1" t="str">
        <f t="shared" si="0"/>
        <v>College Station</v>
      </c>
      <c r="F60" s="1" t="str">
        <f t="shared" si="1"/>
        <v>77843</v>
      </c>
      <c r="G60" t="s">
        <v>9</v>
      </c>
    </row>
    <row r="61" spans="1:7" ht="15" customHeight="1">
      <c r="A61" s="1" t="str">
        <f>"0344"</f>
        <v>0344</v>
      </c>
      <c r="B61" s="1">
        <f>""</f>
      </c>
      <c r="C61" s="1" t="str">
        <f>"ESTI RECRUIT CLASSROOM / FIRE STATION"</f>
        <v>ESTI RECRUIT CLASSROOM / FIRE STATION</v>
      </c>
      <c r="D61" s="1" t="str">
        <f t="shared" si="2"/>
        <v>1595 Nuclear Science Rd.</v>
      </c>
      <c r="E61" s="1" t="str">
        <f t="shared" si="0"/>
        <v>College Station</v>
      </c>
      <c r="F61" s="1" t="str">
        <f t="shared" si="1"/>
        <v>77843</v>
      </c>
      <c r="G61" t="s">
        <v>9</v>
      </c>
    </row>
    <row r="62" spans="1:7" ht="15" customHeight="1">
      <c r="A62" s="1" t="str">
        <f>"0345"</f>
        <v>0345</v>
      </c>
      <c r="B62" s="1">
        <f>""</f>
      </c>
      <c r="C62" s="1" t="str">
        <f>"ESTI BREATHING APPARATUS STORAGE"</f>
        <v>ESTI BREATHING APPARATUS STORAGE</v>
      </c>
      <c r="D62" s="1" t="str">
        <f t="shared" si="2"/>
        <v>1595 Nuclear Science Rd.</v>
      </c>
      <c r="E62" s="1" t="str">
        <f t="shared" si="0"/>
        <v>College Station</v>
      </c>
      <c r="F62" s="1" t="str">
        <f t="shared" si="1"/>
        <v>77843</v>
      </c>
      <c r="G62" t="s">
        <v>9</v>
      </c>
    </row>
    <row r="63" spans="1:7" ht="15" customHeight="1">
      <c r="A63" s="1" t="str">
        <f>"0347"</f>
        <v>0347</v>
      </c>
      <c r="B63" s="1">
        <f>""</f>
      </c>
      <c r="C63" s="1" t="str">
        <f>"ESTI MUNICIPAL CLASSROOM"</f>
        <v>ESTI MUNICIPAL CLASSROOM</v>
      </c>
      <c r="D63" s="1" t="str">
        <f t="shared" si="2"/>
        <v>1595 Nuclear Science Rd.</v>
      </c>
      <c r="E63" s="1" t="str">
        <f t="shared" si="0"/>
        <v>College Station</v>
      </c>
      <c r="F63" s="1" t="str">
        <f t="shared" si="1"/>
        <v>77843</v>
      </c>
      <c r="G63" t="s">
        <v>9</v>
      </c>
    </row>
    <row r="64" spans="1:7" ht="15" customHeight="1">
      <c r="A64" s="1" t="str">
        <f>"0348"</f>
        <v>0348</v>
      </c>
      <c r="B64" s="1">
        <f>""</f>
      </c>
      <c r="C64" s="1" t="str">
        <f>"ESTI PUMP / VEHICLE MAINTENANCE"</f>
        <v>ESTI PUMP / VEHICLE MAINTENANCE</v>
      </c>
      <c r="D64" s="1" t="str">
        <f t="shared" si="2"/>
        <v>1595 Nuclear Science Rd.</v>
      </c>
      <c r="E64" s="1" t="str">
        <f t="shared" si="0"/>
        <v>College Station</v>
      </c>
      <c r="F64" s="1" t="str">
        <f t="shared" si="1"/>
        <v>77843</v>
      </c>
      <c r="G64" t="s">
        <v>9</v>
      </c>
    </row>
    <row r="65" spans="1:7" ht="15" customHeight="1">
      <c r="A65" s="1" t="str">
        <f>"0350"</f>
        <v>0350</v>
      </c>
      <c r="B65" s="1">
        <f>""</f>
      </c>
      <c r="C65" s="1" t="str">
        <f>"ALBRITTON BELL TOWER"</f>
        <v>ALBRITTON BELL TOWER</v>
      </c>
      <c r="D65" s="1" t="str">
        <f>"200 Old Main Dr."</f>
        <v>200 Old Main Dr.</v>
      </c>
      <c r="E65" s="1" t="str">
        <f t="shared" si="0"/>
        <v>College Station</v>
      </c>
      <c r="F65" s="1" t="str">
        <f t="shared" si="1"/>
        <v>77843</v>
      </c>
      <c r="G65" t="s">
        <v>9</v>
      </c>
    </row>
    <row r="66" spans="1:7" ht="15" customHeight="1">
      <c r="A66" s="1" t="str">
        <f>"0353"</f>
        <v>0353</v>
      </c>
      <c r="B66" s="1" t="str">
        <f>"HRBB"</f>
        <v>HRBB</v>
      </c>
      <c r="C66" s="1" t="str">
        <f>"BRIGHT BUILDING"</f>
        <v>BRIGHT BUILDING</v>
      </c>
      <c r="D66" s="1" t="str">
        <f>"710 Ross St."</f>
        <v>710 Ross St.</v>
      </c>
      <c r="E66" s="1" t="str">
        <f aca="true" t="shared" si="3" ref="E66:E129">"College Station"</f>
        <v>College Station</v>
      </c>
      <c r="F66" s="1" t="str">
        <f aca="true" t="shared" si="4" ref="F66:F129">"77843"</f>
        <v>77843</v>
      </c>
      <c r="G66" t="s">
        <v>9</v>
      </c>
    </row>
    <row r="67" spans="1:7" ht="15" customHeight="1">
      <c r="A67" s="1" t="str">
        <f>"0354"</f>
        <v>0354</v>
      </c>
      <c r="B67" s="1">
        <f>""</f>
      </c>
      <c r="C67" s="1" t="str">
        <f>"ESTI HAZARDOUS MATRL CLASSROOM"</f>
        <v>ESTI HAZARDOUS MATRL CLASSROOM</v>
      </c>
      <c r="D67" s="1" t="str">
        <f>"1595 Nuclear Science Rd."</f>
        <v>1595 Nuclear Science Rd.</v>
      </c>
      <c r="E67" s="1" t="str">
        <f t="shared" si="3"/>
        <v>College Station</v>
      </c>
      <c r="F67" s="1" t="str">
        <f t="shared" si="4"/>
        <v>77843</v>
      </c>
      <c r="G67" t="s">
        <v>9</v>
      </c>
    </row>
    <row r="68" spans="1:7" ht="15" customHeight="1">
      <c r="A68" s="1" t="str">
        <f>"0356"</f>
        <v>0356</v>
      </c>
      <c r="B68" s="1">
        <f>""</f>
      </c>
      <c r="C68" s="1" t="str">
        <f>"THE ZEN BOX"</f>
        <v>THE ZEN BOX</v>
      </c>
      <c r="D68" s="1" t="str">
        <f>"704 Lamar St."</f>
        <v>704 Lamar St.</v>
      </c>
      <c r="E68" s="1" t="str">
        <f t="shared" si="3"/>
        <v>College Station</v>
      </c>
      <c r="F68" s="1" t="str">
        <f t="shared" si="4"/>
        <v>77843</v>
      </c>
      <c r="G68" t="s">
        <v>9</v>
      </c>
    </row>
    <row r="69" spans="1:7" ht="15" customHeight="1">
      <c r="A69" s="1" t="str">
        <f>"0357"</f>
        <v>0357</v>
      </c>
      <c r="B69" s="1">
        <f>""</f>
      </c>
      <c r="C69" s="1" t="str">
        <f>"VENDING MACHINE BOOTH"</f>
        <v>VENDING MACHINE BOOTH</v>
      </c>
      <c r="D69" s="1" t="str">
        <f>"408 Spence St."</f>
        <v>408 Spence St.</v>
      </c>
      <c r="E69" s="1" t="str">
        <f t="shared" si="3"/>
        <v>College Station</v>
      </c>
      <c r="F69" s="1" t="str">
        <f t="shared" si="4"/>
        <v>77843</v>
      </c>
      <c r="G69" t="s">
        <v>9</v>
      </c>
    </row>
    <row r="70" spans="1:7" ht="15" customHeight="1">
      <c r="A70" s="1" t="str">
        <f>"0359"</f>
        <v>0359</v>
      </c>
      <c r="B70" s="1" t="str">
        <f>"ARCB"</f>
        <v>ARCB</v>
      </c>
      <c r="C70" s="1" t="str">
        <f>"ARCHITECTURE BUILDING B"</f>
        <v>ARCHITECTURE BUILDING B</v>
      </c>
      <c r="D70" s="1" t="str">
        <f>"782 Ross St."</f>
        <v>782 Ross St.</v>
      </c>
      <c r="E70" s="1" t="str">
        <f t="shared" si="3"/>
        <v>College Station</v>
      </c>
      <c r="F70" s="1" t="str">
        <f t="shared" si="4"/>
        <v>77843</v>
      </c>
      <c r="G70" t="s">
        <v>9</v>
      </c>
    </row>
    <row r="71" spans="1:7" ht="15" customHeight="1">
      <c r="A71" s="1" t="str">
        <f>"0360"</f>
        <v>0360</v>
      </c>
      <c r="B71" s="1" t="str">
        <f>"STED"</f>
        <v>STED</v>
      </c>
      <c r="C71" s="1" t="str">
        <f>"STEED RESEARCH &amp; CONDITIONING LAB"</f>
        <v>STEED RESEARCH &amp; CONDITIONING LAB</v>
      </c>
      <c r="D71" s="1" t="str">
        <f>"167 Wellborn Rd."</f>
        <v>167 Wellborn Rd.</v>
      </c>
      <c r="E71" s="1" t="str">
        <f t="shared" si="3"/>
        <v>College Station</v>
      </c>
      <c r="F71" s="1" t="str">
        <f t="shared" si="4"/>
        <v>77843</v>
      </c>
      <c r="G71" t="s">
        <v>9</v>
      </c>
    </row>
    <row r="72" spans="1:7" ht="15" customHeight="1">
      <c r="A72" s="1" t="str">
        <f>"0361"</f>
        <v>0361</v>
      </c>
      <c r="B72" s="1" t="str">
        <f>"BFC"</f>
        <v>BFC</v>
      </c>
      <c r="C72" s="1" t="str">
        <f>"BRIGHT FOOTBALL COMPLEX"</f>
        <v>BRIGHT FOOTBALL COMPLEX</v>
      </c>
      <c r="D72" s="1" t="str">
        <f>"878 Houston St."</f>
        <v>878 Houston St.</v>
      </c>
      <c r="E72" s="1" t="str">
        <f t="shared" si="3"/>
        <v>College Station</v>
      </c>
      <c r="F72" s="1" t="str">
        <f t="shared" si="4"/>
        <v>77843</v>
      </c>
      <c r="G72" t="s">
        <v>9</v>
      </c>
    </row>
    <row r="73" spans="1:7" ht="15" customHeight="1">
      <c r="A73" s="1" t="str">
        <f>"0362"</f>
        <v>0362</v>
      </c>
      <c r="B73" s="1">
        <f>""</f>
      </c>
      <c r="C73" s="1" t="str">
        <f>"TENNIS COURT RESTROOMS"</f>
        <v>TENNIS COURT RESTROOMS</v>
      </c>
      <c r="D73" s="1" t="str">
        <f>"175 Wellborn Rd."</f>
        <v>175 Wellborn Rd.</v>
      </c>
      <c r="E73" s="1" t="str">
        <f t="shared" si="3"/>
        <v>College Station</v>
      </c>
      <c r="F73" s="1" t="str">
        <f t="shared" si="4"/>
        <v>77843</v>
      </c>
      <c r="G73" t="s">
        <v>9</v>
      </c>
    </row>
    <row r="74" spans="1:7" ht="15" customHeight="1">
      <c r="A74" s="1" t="str">
        <f>"0364"</f>
        <v>0364</v>
      </c>
      <c r="B74" s="1" t="str">
        <f>"OMAR"</f>
        <v>OMAR</v>
      </c>
      <c r="C74" s="1" t="str">
        <f>"SMITH TENNIS CENTER"</f>
        <v>SMITH TENNIS CENTER</v>
      </c>
      <c r="D74" s="1" t="str">
        <f>"259 Russell St."</f>
        <v>259 Russell St.</v>
      </c>
      <c r="E74" s="1" t="str">
        <f t="shared" si="3"/>
        <v>College Station</v>
      </c>
      <c r="F74" s="1" t="str">
        <f t="shared" si="4"/>
        <v>77843</v>
      </c>
      <c r="G74" t="s">
        <v>9</v>
      </c>
    </row>
    <row r="75" spans="1:7" ht="15" customHeight="1">
      <c r="A75" s="1" t="str">
        <f>"0367"</f>
        <v>0367</v>
      </c>
      <c r="B75" s="1" t="str">
        <f>"KYLE"</f>
        <v>KYLE</v>
      </c>
      <c r="C75" s="1" t="str">
        <f>"KYLE FIELD"</f>
        <v>KYLE FIELD</v>
      </c>
      <c r="D75" s="1" t="str">
        <f>"161 Wellborn Rd."</f>
        <v>161 Wellborn Rd.</v>
      </c>
      <c r="E75" s="1" t="str">
        <f t="shared" si="3"/>
        <v>College Station</v>
      </c>
      <c r="F75" s="1" t="str">
        <f t="shared" si="4"/>
        <v>77843</v>
      </c>
      <c r="G75" t="s">
        <v>9</v>
      </c>
    </row>
    <row r="76" spans="1:7" ht="15" customHeight="1">
      <c r="A76" s="1" t="str">
        <f>"0369"</f>
        <v>0369</v>
      </c>
      <c r="B76" s="1" t="str">
        <f>"READ"</f>
        <v>READ</v>
      </c>
      <c r="C76" s="1" t="str">
        <f>"READ BUILDING"</f>
        <v>READ BUILDING</v>
      </c>
      <c r="D76" s="1" t="str">
        <f>"700 Houston St."</f>
        <v>700 Houston St.</v>
      </c>
      <c r="E76" s="1" t="str">
        <f t="shared" si="3"/>
        <v>College Station</v>
      </c>
      <c r="F76" s="1" t="str">
        <f t="shared" si="4"/>
        <v>77843</v>
      </c>
      <c r="G76" t="s">
        <v>9</v>
      </c>
    </row>
    <row r="77" spans="1:7" ht="15" customHeight="1">
      <c r="A77" s="1" t="str">
        <f>"0370"</f>
        <v>0370</v>
      </c>
      <c r="B77" s="1">
        <f>""</f>
      </c>
      <c r="C77" s="1" t="str">
        <f>"HENSEL PARK PICNIC SHELTER"</f>
        <v>HENSEL PARK PICNIC SHELTER</v>
      </c>
      <c r="D77" s="1">
        <f>""</f>
      </c>
      <c r="E77" s="1" t="str">
        <f t="shared" si="3"/>
        <v>College Station</v>
      </c>
      <c r="F77" s="1" t="str">
        <f t="shared" si="4"/>
        <v>77843</v>
      </c>
      <c r="G77" t="s">
        <v>8</v>
      </c>
    </row>
    <row r="78" spans="1:7" ht="15" customHeight="1">
      <c r="A78" s="1" t="str">
        <f>"0371"</f>
        <v>0371</v>
      </c>
      <c r="B78" s="1">
        <f>""</f>
      </c>
      <c r="C78" s="1" t="str">
        <f>"HENSEL PARK PICNIC SHELTER #1"</f>
        <v>HENSEL PARK PICNIC SHELTER #1</v>
      </c>
      <c r="D78" s="1">
        <f>""</f>
      </c>
      <c r="E78" s="1" t="str">
        <f t="shared" si="3"/>
        <v>College Station</v>
      </c>
      <c r="F78" s="1" t="str">
        <f t="shared" si="4"/>
        <v>77843</v>
      </c>
      <c r="G78" t="s">
        <v>8</v>
      </c>
    </row>
    <row r="79" spans="1:7" ht="15" customHeight="1">
      <c r="A79" s="1" t="str">
        <f>"0372"</f>
        <v>0372</v>
      </c>
      <c r="B79" s="1">
        <f>""</f>
      </c>
      <c r="C79" s="1" t="str">
        <f>"HENSEL PARK PICNIC SHELTER #2"</f>
        <v>HENSEL PARK PICNIC SHELTER #2</v>
      </c>
      <c r="D79" s="1">
        <f>""</f>
      </c>
      <c r="E79" s="1" t="str">
        <f t="shared" si="3"/>
        <v>College Station</v>
      </c>
      <c r="F79" s="1" t="str">
        <f t="shared" si="4"/>
        <v>77843</v>
      </c>
      <c r="G79" t="s">
        <v>8</v>
      </c>
    </row>
    <row r="80" spans="1:7" ht="15" customHeight="1">
      <c r="A80" s="1" t="str">
        <f>"0373"</f>
        <v>0373</v>
      </c>
      <c r="B80" s="1">
        <f>""</f>
      </c>
      <c r="C80" s="1" t="str">
        <f>"HENSEL PARK RESTROOMS"</f>
        <v>HENSEL PARK RESTROOMS</v>
      </c>
      <c r="D80" s="1">
        <f>""</f>
      </c>
      <c r="E80" s="1" t="str">
        <f t="shared" si="3"/>
        <v>College Station</v>
      </c>
      <c r="F80" s="1" t="str">
        <f t="shared" si="4"/>
        <v>77843</v>
      </c>
      <c r="G80" t="s">
        <v>8</v>
      </c>
    </row>
    <row r="81" spans="1:7" ht="15" customHeight="1">
      <c r="A81" s="1" t="str">
        <f>"0376"</f>
        <v>0376</v>
      </c>
      <c r="B81" s="1" t="str">
        <f>"CHAN"</f>
        <v>CHAN</v>
      </c>
      <c r="C81" s="1" t="str">
        <f>"CHEMISTRY BUILDING ADDITION"</f>
        <v>CHEMISTRY BUILDING ADDITION</v>
      </c>
      <c r="D81" s="1" t="str">
        <f>"646 Ross St."</f>
        <v>646 Ross St.</v>
      </c>
      <c r="E81" s="1" t="str">
        <f t="shared" si="3"/>
        <v>College Station</v>
      </c>
      <c r="F81" s="1" t="str">
        <f t="shared" si="4"/>
        <v>77843</v>
      </c>
      <c r="G81" t="s">
        <v>9</v>
      </c>
    </row>
    <row r="82" spans="1:7" ht="15" customHeight="1">
      <c r="A82" s="1" t="str">
        <f>"0377"</f>
        <v>0377</v>
      </c>
      <c r="B82" s="1" t="str">
        <f>"SUP3"</f>
        <v>SUP3</v>
      </c>
      <c r="C82" s="1" t="str">
        <f>"SATELLITE UTILITY PLANT NO. 3"</f>
        <v>SATELLITE UTILITY PLANT NO. 3</v>
      </c>
      <c r="D82" s="1" t="str">
        <f>"477 Joe Routt Bl."</f>
        <v>477 Joe Routt Bl.</v>
      </c>
      <c r="E82" s="1" t="str">
        <f t="shared" si="3"/>
        <v>College Station</v>
      </c>
      <c r="F82" s="1" t="str">
        <f t="shared" si="4"/>
        <v>77843</v>
      </c>
      <c r="G82" t="s">
        <v>9</v>
      </c>
    </row>
    <row r="83" spans="1:7" ht="15" customHeight="1">
      <c r="A83" s="1" t="str">
        <f>"0378"</f>
        <v>0378</v>
      </c>
      <c r="B83" s="1" t="str">
        <f>"SSPG"</f>
        <v>SSPG</v>
      </c>
      <c r="C83" s="1" t="str">
        <f>"SOUTH SIDE PARKING GARAGE"</f>
        <v>SOUTH SIDE PARKING GARAGE</v>
      </c>
      <c r="D83" s="1" t="str">
        <f>"750 Bizzell St."</f>
        <v>750 Bizzell St.</v>
      </c>
      <c r="E83" s="1" t="str">
        <f t="shared" si="3"/>
        <v>College Station</v>
      </c>
      <c r="F83" s="1" t="str">
        <f t="shared" si="4"/>
        <v>77843</v>
      </c>
      <c r="G83" t="s">
        <v>9</v>
      </c>
    </row>
    <row r="84" spans="1:7" ht="15" customHeight="1">
      <c r="A84" s="1" t="str">
        <f>"0379"</f>
        <v>0379</v>
      </c>
      <c r="B84" s="1" t="str">
        <f>"UCPG"</f>
        <v>UCPG</v>
      </c>
      <c r="C84" s="1" t="str">
        <f>"UNIVERSITY CENTER PARKING GARAGE"</f>
        <v>UNIVERSITY CENTER PARKING GARAGE</v>
      </c>
      <c r="D84" s="1" t="str">
        <f>"660 Throckmorton St."</f>
        <v>660 Throckmorton St.</v>
      </c>
      <c r="E84" s="1" t="str">
        <f t="shared" si="3"/>
        <v>College Station</v>
      </c>
      <c r="F84" s="1" t="str">
        <f t="shared" si="4"/>
        <v>77843</v>
      </c>
      <c r="G84" t="s">
        <v>9</v>
      </c>
    </row>
    <row r="85" spans="1:7" ht="15" customHeight="1">
      <c r="A85" s="1" t="str">
        <f>"0380"</f>
        <v>0380</v>
      </c>
      <c r="B85" s="1">
        <f>""</f>
      </c>
      <c r="C85" s="1" t="str">
        <f>"FLORICULTURE BUILDING A"</f>
        <v>FLORICULTURE BUILDING A</v>
      </c>
      <c r="D85" s="1">
        <f>""</f>
      </c>
      <c r="E85" s="1" t="str">
        <f t="shared" si="3"/>
        <v>College Station</v>
      </c>
      <c r="F85" s="1" t="str">
        <f t="shared" si="4"/>
        <v>77843</v>
      </c>
      <c r="G85" t="s">
        <v>8</v>
      </c>
    </row>
    <row r="86" spans="1:7" ht="15" customHeight="1">
      <c r="A86" s="1" t="str">
        <f>"0381"</f>
        <v>0381</v>
      </c>
      <c r="B86" s="1">
        <f>""</f>
      </c>
      <c r="C86" s="1" t="str">
        <f>"FLORICULTURE BUILDING B"</f>
        <v>FLORICULTURE BUILDING B</v>
      </c>
      <c r="D86" s="1">
        <f>""</f>
      </c>
      <c r="E86" s="1" t="str">
        <f t="shared" si="3"/>
        <v>College Station</v>
      </c>
      <c r="F86" s="1" t="str">
        <f t="shared" si="4"/>
        <v>77843</v>
      </c>
      <c r="G86" t="s">
        <v>8</v>
      </c>
    </row>
    <row r="87" spans="1:7" ht="15" customHeight="1">
      <c r="A87" s="1" t="str">
        <f>"0382"</f>
        <v>0382</v>
      </c>
      <c r="B87" s="1">
        <f>""</f>
      </c>
      <c r="C87" s="1" t="str">
        <f>"FLORICULTURE BUILDING C"</f>
        <v>FLORICULTURE BUILDING C</v>
      </c>
      <c r="D87" s="1">
        <f>""</f>
      </c>
      <c r="E87" s="1" t="str">
        <f t="shared" si="3"/>
        <v>College Station</v>
      </c>
      <c r="F87" s="1" t="str">
        <f t="shared" si="4"/>
        <v>77843</v>
      </c>
      <c r="G87" t="s">
        <v>8</v>
      </c>
    </row>
    <row r="88" spans="1:7" ht="15" customHeight="1">
      <c r="A88" s="1" t="str">
        <f>"0383"</f>
        <v>0383</v>
      </c>
      <c r="B88" s="1" t="str">
        <f>"JJKB"</f>
        <v>JJKB</v>
      </c>
      <c r="C88" s="1" t="str">
        <f>"KOLDUS BUILDING"</f>
        <v>KOLDUS BUILDING</v>
      </c>
      <c r="D88" s="1" t="str">
        <f>"400 Joe Routt Bl."</f>
        <v>400 Joe Routt Bl.</v>
      </c>
      <c r="E88" s="1" t="str">
        <f t="shared" si="3"/>
        <v>College Station</v>
      </c>
      <c r="F88" s="1" t="str">
        <f t="shared" si="4"/>
        <v>77843</v>
      </c>
      <c r="G88" t="s">
        <v>9</v>
      </c>
    </row>
    <row r="89" spans="1:7" ht="15" customHeight="1">
      <c r="A89" s="1" t="str">
        <f>"0384"</f>
        <v>0384</v>
      </c>
      <c r="B89" s="1" t="str">
        <f>"SCCT"</f>
        <v>SCCT</v>
      </c>
      <c r="C89" s="1" t="str">
        <f>"SANDERS CORPS OF CADETS CENTER"</f>
        <v>SANDERS CORPS OF CADETS CENTER</v>
      </c>
      <c r="D89" s="1" t="str">
        <f>"475 Short St."</f>
        <v>475 Short St.</v>
      </c>
      <c r="E89" s="1" t="str">
        <f t="shared" si="3"/>
        <v>College Station</v>
      </c>
      <c r="F89" s="1" t="str">
        <f t="shared" si="4"/>
        <v>77843</v>
      </c>
      <c r="G89" t="s">
        <v>9</v>
      </c>
    </row>
    <row r="90" spans="1:7" ht="15" customHeight="1">
      <c r="A90" s="1" t="str">
        <f>"0385"</f>
        <v>0385</v>
      </c>
      <c r="B90" s="1" t="str">
        <f>"CVLB"</f>
        <v>CVLB</v>
      </c>
      <c r="C90" s="1" t="str">
        <f>"CE/TTI OFFICE &amp; LAB BUILDING"</f>
        <v>CE/TTI OFFICE &amp; LAB BUILDING</v>
      </c>
      <c r="D90" s="1" t="str">
        <f>"199 Spence St."</f>
        <v>199 Spence St.</v>
      </c>
      <c r="E90" s="1" t="str">
        <f t="shared" si="3"/>
        <v>College Station</v>
      </c>
      <c r="F90" s="1" t="str">
        <f t="shared" si="4"/>
        <v>77843</v>
      </c>
      <c r="G90" t="s">
        <v>9</v>
      </c>
    </row>
    <row r="91" spans="1:7" ht="15" customHeight="1">
      <c r="A91" s="1" t="str">
        <f>"0386"</f>
        <v>0386</v>
      </c>
      <c r="B91" s="1" t="str">
        <f>"CHEN"</f>
        <v>CHEN</v>
      </c>
      <c r="C91" s="1" t="str">
        <f>"JACK E. BROWN CHEMICAL ENGINEERING BUILDING"</f>
        <v>JACK E. BROWN CHEMICAL ENGINEERING BUILDING</v>
      </c>
      <c r="D91" s="1" t="str">
        <f>"100 Spence St."</f>
        <v>100 Spence St.</v>
      </c>
      <c r="E91" s="1" t="str">
        <f t="shared" si="3"/>
        <v>College Station</v>
      </c>
      <c r="F91" s="1" t="str">
        <f t="shared" si="4"/>
        <v>77843</v>
      </c>
      <c r="G91" t="s">
        <v>9</v>
      </c>
    </row>
    <row r="92" spans="1:7" ht="15" customHeight="1">
      <c r="A92" s="1" t="str">
        <f>"0387"</f>
        <v>0387</v>
      </c>
      <c r="B92" s="1" t="str">
        <f>"RICH"</f>
        <v>RICH</v>
      </c>
      <c r="C92" s="1" t="str">
        <f>"RICHARDSON PETROLEUM ENGINEERING BUILDING"</f>
        <v>RICHARDSON PETROLEUM ENGINEERING BUILDING</v>
      </c>
      <c r="D92" s="1" t="str">
        <f>"245 Spence St."</f>
        <v>245 Spence St.</v>
      </c>
      <c r="E92" s="1" t="str">
        <f t="shared" si="3"/>
        <v>College Station</v>
      </c>
      <c r="F92" s="1" t="str">
        <f t="shared" si="4"/>
        <v>77843</v>
      </c>
      <c r="G92" t="s">
        <v>9</v>
      </c>
    </row>
    <row r="93" spans="1:7" ht="15" customHeight="1">
      <c r="A93" s="1" t="str">
        <f>"0388"</f>
        <v>0388</v>
      </c>
      <c r="B93" s="1" t="str">
        <f>"NSPG"</f>
        <v>NSPG</v>
      </c>
      <c r="C93" s="1" t="str">
        <f>"NORTHSIDE PARKING GARAGE"</f>
        <v>NORTHSIDE PARKING GARAGE</v>
      </c>
      <c r="D93" s="1" t="str">
        <f>"104 Ireland St."</f>
        <v>104 Ireland St.</v>
      </c>
      <c r="E93" s="1" t="str">
        <f t="shared" si="3"/>
        <v>College Station</v>
      </c>
      <c r="F93" s="1" t="str">
        <f t="shared" si="4"/>
        <v>77843</v>
      </c>
      <c r="G93" t="s">
        <v>9</v>
      </c>
    </row>
    <row r="94" spans="1:7" ht="15" customHeight="1">
      <c r="A94" s="1" t="str">
        <f>"0389"</f>
        <v>0389</v>
      </c>
      <c r="B94" s="1">
        <f>""</f>
      </c>
      <c r="C94" s="1" t="str">
        <f>"GROUNDS MAINTENANCE POTTING SHED"</f>
        <v>GROUNDS MAINTENANCE POTTING SHED</v>
      </c>
      <c r="D94" s="1">
        <f>""</f>
      </c>
      <c r="E94" s="1" t="str">
        <f t="shared" si="3"/>
        <v>College Station</v>
      </c>
      <c r="F94" s="1" t="str">
        <f t="shared" si="4"/>
        <v>77843</v>
      </c>
      <c r="G94" t="s">
        <v>8</v>
      </c>
    </row>
    <row r="95" spans="1:7" ht="15" customHeight="1">
      <c r="A95" s="1" t="str">
        <f>"0391"</f>
        <v>0391</v>
      </c>
      <c r="B95" s="1" t="str">
        <f>"ENPH"</f>
        <v>ENPH</v>
      </c>
      <c r="C95" s="1" t="str">
        <f>"JAMES J. CAIN '51 BUILDING"</f>
        <v>JAMES J. CAIN '51 BUILDING</v>
      </c>
      <c r="D95" s="1" t="str">
        <f>"180 Spence St."</f>
        <v>180 Spence St.</v>
      </c>
      <c r="E95" s="1" t="str">
        <f t="shared" si="3"/>
        <v>College Station</v>
      </c>
      <c r="F95" s="1" t="str">
        <f t="shared" si="4"/>
        <v>77843</v>
      </c>
      <c r="G95" t="s">
        <v>9</v>
      </c>
    </row>
    <row r="96" spans="1:7" ht="15" customHeight="1">
      <c r="A96" s="1" t="str">
        <f>"0392"</f>
        <v>0392</v>
      </c>
      <c r="B96" s="1" t="str">
        <f>"ENPO"</f>
        <v>ENPO</v>
      </c>
      <c r="C96" s="1" t="str">
        <f>"ENGINEERING/PHYSICS OFFICE TOWER"</f>
        <v>ENGINEERING/PHYSICS OFFICE TOWER</v>
      </c>
      <c r="D96" s="1" t="str">
        <f>"202 Spence St."</f>
        <v>202 Spence St.</v>
      </c>
      <c r="E96" s="1" t="str">
        <f t="shared" si="3"/>
        <v>College Station</v>
      </c>
      <c r="F96" s="1" t="str">
        <f t="shared" si="4"/>
        <v>77843</v>
      </c>
      <c r="G96" t="s">
        <v>9</v>
      </c>
    </row>
    <row r="97" spans="1:7" ht="15" customHeight="1">
      <c r="A97" s="1" t="str">
        <f>"0393"</f>
        <v>0393</v>
      </c>
      <c r="B97" s="1" t="str">
        <f>"LIND"</f>
        <v>LIND</v>
      </c>
      <c r="C97" s="1" t="str">
        <f>"LINDSEY BUILDING"</f>
        <v>LINDSEY BUILDING</v>
      </c>
      <c r="D97" s="1" t="str">
        <f>"646 Lewis St."</f>
        <v>646 Lewis St.</v>
      </c>
      <c r="E97" s="1" t="str">
        <f t="shared" si="3"/>
        <v>College Station</v>
      </c>
      <c r="F97" s="1" t="str">
        <f t="shared" si="4"/>
        <v>77843</v>
      </c>
      <c r="G97" t="s">
        <v>9</v>
      </c>
    </row>
    <row r="98" spans="1:7" ht="15" customHeight="1">
      <c r="A98" s="1" t="str">
        <f>"0394"</f>
        <v>0394</v>
      </c>
      <c r="B98" s="1" t="str">
        <f>"UNDE"</f>
        <v>UNDE</v>
      </c>
      <c r="C98" s="1" t="str">
        <f>"UNDERWOOD RESIDENCE HALL"</f>
        <v>UNDERWOOD RESIDENCE HALL</v>
      </c>
      <c r="D98" s="1" t="str">
        <f>"644 Mosher Ln."</f>
        <v>644 Mosher Ln.</v>
      </c>
      <c r="E98" s="1" t="str">
        <f t="shared" si="3"/>
        <v>College Station</v>
      </c>
      <c r="F98" s="1" t="str">
        <f t="shared" si="4"/>
        <v>77843</v>
      </c>
      <c r="G98" t="s">
        <v>9</v>
      </c>
    </row>
    <row r="99" spans="1:7" ht="15" customHeight="1">
      <c r="A99" s="1" t="str">
        <f>"0398"</f>
        <v>0398</v>
      </c>
      <c r="B99" s="1" t="str">
        <f>"ARCA"</f>
        <v>ARCA</v>
      </c>
      <c r="C99" s="1" t="str">
        <f>"LANGFORD ARCHITECTURE CENTER BUILDING A"</f>
        <v>LANGFORD ARCHITECTURE CENTER BUILDING A</v>
      </c>
      <c r="D99" s="1" t="str">
        <f>"798 Ross St."</f>
        <v>798 Ross St.</v>
      </c>
      <c r="E99" s="1" t="str">
        <f t="shared" si="3"/>
        <v>College Station</v>
      </c>
      <c r="F99" s="1" t="str">
        <f t="shared" si="4"/>
        <v>77843</v>
      </c>
      <c r="G99" t="s">
        <v>9</v>
      </c>
    </row>
    <row r="100" spans="1:7" ht="15" customHeight="1">
      <c r="A100" s="1" t="str">
        <f>"0399"</f>
        <v>0399</v>
      </c>
      <c r="B100" s="1">
        <f>""</f>
      </c>
      <c r="C100" s="1" t="str">
        <f>"BUS STOP SHELTER-BIZZELL&amp;LUBBOCK"</f>
        <v>BUS STOP SHELTER-BIZZELL&amp;LUBBOCK</v>
      </c>
      <c r="D100" s="1">
        <f>""</f>
      </c>
      <c r="E100" s="1" t="str">
        <f t="shared" si="3"/>
        <v>College Station</v>
      </c>
      <c r="F100" s="1" t="str">
        <f t="shared" si="4"/>
        <v>77843</v>
      </c>
      <c r="G100" t="s">
        <v>8</v>
      </c>
    </row>
    <row r="101" spans="1:7" ht="15" customHeight="1">
      <c r="A101" s="1" t="str">
        <f>"0400"</f>
        <v>0400</v>
      </c>
      <c r="B101" s="1" t="str">
        <f>"SPEN"</f>
        <v>SPEN</v>
      </c>
      <c r="C101" s="1" t="str">
        <f>"SPENCE HALL - DORM 1"</f>
        <v>SPENCE HALL - DORM 1</v>
      </c>
      <c r="D101" s="1" t="str">
        <f>"605 Military Mall"</f>
        <v>605 Military Mall</v>
      </c>
      <c r="E101" s="1" t="str">
        <f t="shared" si="3"/>
        <v>College Station</v>
      </c>
      <c r="F101" s="1" t="str">
        <f t="shared" si="4"/>
        <v>77843</v>
      </c>
      <c r="G101" t="s">
        <v>9</v>
      </c>
    </row>
    <row r="102" spans="1:7" ht="15" customHeight="1">
      <c r="A102" s="1" t="str">
        <f>"0401"</f>
        <v>0401</v>
      </c>
      <c r="B102" s="1" t="str">
        <f>"KIES"</f>
        <v>KIES</v>
      </c>
      <c r="C102" s="1" t="str">
        <f>"KIEST HALL - DORM 2"</f>
        <v>KIEST HALL - DORM 2</v>
      </c>
      <c r="D102" s="1" t="str">
        <f>"606 Military Mall"</f>
        <v>606 Military Mall</v>
      </c>
      <c r="E102" s="1" t="str">
        <f t="shared" si="3"/>
        <v>College Station</v>
      </c>
      <c r="F102" s="1" t="str">
        <f t="shared" si="4"/>
        <v>77843</v>
      </c>
      <c r="G102" t="s">
        <v>9</v>
      </c>
    </row>
    <row r="103" spans="1:7" ht="15" customHeight="1">
      <c r="A103" s="1" t="str">
        <f>"0402"</f>
        <v>0402</v>
      </c>
      <c r="B103" s="1" t="str">
        <f>"BRIG"</f>
        <v>BRIG</v>
      </c>
      <c r="C103" s="1" t="str">
        <f>"BRIGGS HALL - DORM 3"</f>
        <v>BRIGGS HALL - DORM 3</v>
      </c>
      <c r="D103" s="1" t="str">
        <f>"635 Military Mall"</f>
        <v>635 Military Mall</v>
      </c>
      <c r="E103" s="1" t="str">
        <f t="shared" si="3"/>
        <v>College Station</v>
      </c>
      <c r="F103" s="1" t="str">
        <f t="shared" si="4"/>
        <v>77843</v>
      </c>
      <c r="G103" t="s">
        <v>9</v>
      </c>
    </row>
    <row r="104" spans="1:7" ht="15" customHeight="1">
      <c r="A104" s="1" t="str">
        <f>"0403"</f>
        <v>0403</v>
      </c>
      <c r="B104" s="1" t="str">
        <f>"FOUN"</f>
        <v>FOUN</v>
      </c>
      <c r="C104" s="1" t="str">
        <f>"FOUNTAIN HALL - DORM 4"</f>
        <v>FOUNTAIN HALL - DORM 4</v>
      </c>
      <c r="D104" s="1" t="str">
        <f>"636 Military Mall"</f>
        <v>636 Military Mall</v>
      </c>
      <c r="E104" s="1" t="str">
        <f t="shared" si="3"/>
        <v>College Station</v>
      </c>
      <c r="F104" s="1" t="str">
        <f t="shared" si="4"/>
        <v>77843</v>
      </c>
      <c r="G104" t="s">
        <v>9</v>
      </c>
    </row>
    <row r="105" spans="1:7" ht="15" customHeight="1">
      <c r="A105" s="1" t="str">
        <f>"0404"</f>
        <v>0404</v>
      </c>
      <c r="B105" s="1" t="str">
        <f>"GAIN"</f>
        <v>GAIN</v>
      </c>
      <c r="C105" s="1" t="str">
        <f>"GAINER HALL - DORM 5"</f>
        <v>GAINER HALL - DORM 5</v>
      </c>
      <c r="D105" s="1" t="str">
        <f>"665 Military Mall"</f>
        <v>665 Military Mall</v>
      </c>
      <c r="E105" s="1" t="str">
        <f t="shared" si="3"/>
        <v>College Station</v>
      </c>
      <c r="F105" s="1" t="str">
        <f t="shared" si="4"/>
        <v>77843</v>
      </c>
      <c r="G105" t="s">
        <v>9</v>
      </c>
    </row>
    <row r="106" spans="1:7" ht="15" customHeight="1">
      <c r="A106" s="1" t="str">
        <f>"0405"</f>
        <v>0405</v>
      </c>
      <c r="B106" s="1" t="str">
        <f>"LACY"</f>
        <v>LACY</v>
      </c>
      <c r="C106" s="1" t="str">
        <f>"LACY HALL - DORM 6"</f>
        <v>LACY HALL - DORM 6</v>
      </c>
      <c r="D106" s="1" t="str">
        <f>"664 Military Mall"</f>
        <v>664 Military Mall</v>
      </c>
      <c r="E106" s="1" t="str">
        <f t="shared" si="3"/>
        <v>College Station</v>
      </c>
      <c r="F106" s="1" t="str">
        <f t="shared" si="4"/>
        <v>77843</v>
      </c>
      <c r="G106" t="s">
        <v>9</v>
      </c>
    </row>
    <row r="107" spans="1:7" ht="15" customHeight="1">
      <c r="A107" s="1" t="str">
        <f>"0406"</f>
        <v>0406</v>
      </c>
      <c r="B107" s="1" t="str">
        <f>"LEON"</f>
        <v>LEON</v>
      </c>
      <c r="C107" s="1" t="str">
        <f>"LEONARD HALL - DORM 7"</f>
        <v>LEONARD HALL - DORM 7</v>
      </c>
      <c r="D107" s="1" t="str">
        <f>"695 Military Mall"</f>
        <v>695 Military Mall</v>
      </c>
      <c r="E107" s="1" t="str">
        <f t="shared" si="3"/>
        <v>College Station</v>
      </c>
      <c r="F107" s="1" t="str">
        <f t="shared" si="4"/>
        <v>77843</v>
      </c>
      <c r="G107" t="s">
        <v>9</v>
      </c>
    </row>
    <row r="108" spans="1:7" ht="15" customHeight="1">
      <c r="A108" s="1" t="str">
        <f>"0407"</f>
        <v>0407</v>
      </c>
      <c r="B108" s="1" t="str">
        <f>"HARL"</f>
        <v>HARL</v>
      </c>
      <c r="C108" s="1" t="str">
        <f>"HARRELL HALL - DORM 8"</f>
        <v>HARRELL HALL - DORM 8</v>
      </c>
      <c r="D108" s="1" t="str">
        <f>"696 Military Mall"</f>
        <v>696 Military Mall</v>
      </c>
      <c r="E108" s="1" t="str">
        <f t="shared" si="3"/>
        <v>College Station</v>
      </c>
      <c r="F108" s="1" t="str">
        <f t="shared" si="4"/>
        <v>77843</v>
      </c>
      <c r="G108" t="s">
        <v>9</v>
      </c>
    </row>
    <row r="109" spans="1:7" ht="15" customHeight="1">
      <c r="A109" s="1" t="str">
        <f>"0408"</f>
        <v>0408</v>
      </c>
      <c r="B109" s="1" t="str">
        <f>"WHTE"</f>
        <v>WHTE</v>
      </c>
      <c r="C109" s="1" t="str">
        <f>"WHITELY HALL - DORM 9"</f>
        <v>WHITELY HALL - DORM 9</v>
      </c>
      <c r="D109" s="1" t="str">
        <f>"735 Military Mall"</f>
        <v>735 Military Mall</v>
      </c>
      <c r="E109" s="1" t="str">
        <f t="shared" si="3"/>
        <v>College Station</v>
      </c>
      <c r="F109" s="1" t="str">
        <f t="shared" si="4"/>
        <v>77843</v>
      </c>
      <c r="G109" t="s">
        <v>9</v>
      </c>
    </row>
    <row r="110" spans="1:7" ht="15" customHeight="1">
      <c r="A110" s="1" t="str">
        <f>"0409"</f>
        <v>0409</v>
      </c>
      <c r="B110" s="1" t="str">
        <f>"WHIT"</f>
        <v>WHIT</v>
      </c>
      <c r="C110" s="1" t="str">
        <f>"WHITE HALL - DORM 10"</f>
        <v>WHITE HALL - DORM 10</v>
      </c>
      <c r="D110" s="1" t="str">
        <f>"736 Military Mall"</f>
        <v>736 Military Mall</v>
      </c>
      <c r="E110" s="1" t="str">
        <f t="shared" si="3"/>
        <v>College Station</v>
      </c>
      <c r="F110" s="1" t="str">
        <f t="shared" si="4"/>
        <v>77843</v>
      </c>
      <c r="G110" t="s">
        <v>9</v>
      </c>
    </row>
    <row r="111" spans="1:7" ht="15" customHeight="1">
      <c r="A111" s="1" t="str">
        <f>"0410"</f>
        <v>0410</v>
      </c>
      <c r="B111" s="1" t="str">
        <f>"HARR"</f>
        <v>HARR</v>
      </c>
      <c r="C111" s="1" t="str">
        <f>"HARRINGTON HALL - DORM 11"</f>
        <v>HARRINGTON HALL - DORM 11</v>
      </c>
      <c r="D111" s="1" t="str">
        <f>"767 Military Mall"</f>
        <v>767 Military Mall</v>
      </c>
      <c r="E111" s="1" t="str">
        <f t="shared" si="3"/>
        <v>College Station</v>
      </c>
      <c r="F111" s="1" t="str">
        <f t="shared" si="4"/>
        <v>77843</v>
      </c>
      <c r="G111" t="s">
        <v>9</v>
      </c>
    </row>
    <row r="112" spans="1:7" ht="15" customHeight="1">
      <c r="A112" s="1" t="str">
        <f>"0411"</f>
        <v>0411</v>
      </c>
      <c r="B112" s="1" t="str">
        <f>"UTAY"</f>
        <v>UTAY</v>
      </c>
      <c r="C112" s="1" t="str">
        <f>"UTAY HALL - DORM 12"</f>
        <v>UTAY HALL - DORM 12</v>
      </c>
      <c r="D112" s="1" t="str">
        <f>"766 Military Mall"</f>
        <v>766 Military Mall</v>
      </c>
      <c r="E112" s="1" t="str">
        <f t="shared" si="3"/>
        <v>College Station</v>
      </c>
      <c r="F112" s="1" t="str">
        <f t="shared" si="4"/>
        <v>77843</v>
      </c>
      <c r="G112" t="s">
        <v>9</v>
      </c>
    </row>
    <row r="113" spans="1:7" ht="15" customHeight="1">
      <c r="A113" s="1" t="str">
        <f>"0412"</f>
        <v>0412</v>
      </c>
      <c r="B113" s="1" t="str">
        <f>"MOSE"</f>
        <v>MOSE</v>
      </c>
      <c r="C113" s="1" t="str">
        <f>"MOSES RESIDENCE HALL"</f>
        <v>MOSES RESIDENCE HALL</v>
      </c>
      <c r="D113" s="1" t="str">
        <f>"212 University Dr."</f>
        <v>212 University Dr.</v>
      </c>
      <c r="E113" s="1" t="str">
        <f t="shared" si="3"/>
        <v>College Station</v>
      </c>
      <c r="F113" s="1" t="str">
        <f t="shared" si="4"/>
        <v>77843</v>
      </c>
      <c r="G113" t="s">
        <v>9</v>
      </c>
    </row>
    <row r="114" spans="1:7" ht="15" customHeight="1">
      <c r="A114" s="1" t="str">
        <f>"0413"</f>
        <v>0413</v>
      </c>
      <c r="B114" s="1" t="str">
        <f>"MOOR"</f>
        <v>MOOR</v>
      </c>
      <c r="C114" s="1" t="str">
        <f>"MOORE RESIDENCE HALL"</f>
        <v>MOORE RESIDENCE HALL</v>
      </c>
      <c r="D114" s="1" t="str">
        <f>"304 University Dr."</f>
        <v>304 University Dr.</v>
      </c>
      <c r="E114" s="1" t="str">
        <f t="shared" si="3"/>
        <v>College Station</v>
      </c>
      <c r="F114" s="1" t="str">
        <f t="shared" si="4"/>
        <v>77843</v>
      </c>
      <c r="G114" t="s">
        <v>9</v>
      </c>
    </row>
    <row r="115" spans="1:7" ht="15" customHeight="1">
      <c r="A115" s="1" t="str">
        <f>"0414"</f>
        <v>0414</v>
      </c>
      <c r="B115" s="1" t="str">
        <f>"CROC"</f>
        <v>CROC</v>
      </c>
      <c r="C115" s="1" t="str">
        <f>"CROCKER RESIDENCE HALL"</f>
        <v>CROCKER RESIDENCE HALL</v>
      </c>
      <c r="D115" s="1" t="str">
        <f>"302 University Dr."</f>
        <v>302 University Dr.</v>
      </c>
      <c r="E115" s="1" t="str">
        <f t="shared" si="3"/>
        <v>College Station</v>
      </c>
      <c r="F115" s="1" t="str">
        <f t="shared" si="4"/>
        <v>77843</v>
      </c>
      <c r="G115" t="s">
        <v>9</v>
      </c>
    </row>
    <row r="116" spans="1:7" ht="15" customHeight="1">
      <c r="A116" s="1" t="str">
        <f>"0415"</f>
        <v>0415</v>
      </c>
      <c r="B116" s="1" t="str">
        <f>"DAVI"</f>
        <v>DAVI</v>
      </c>
      <c r="C116" s="1" t="str">
        <f>"DAVIS-GARY RESIDENCE HALL"</f>
        <v>DAVIS-GARY RESIDENCE HALL</v>
      </c>
      <c r="D116" s="1" t="str">
        <f>"210 University Dr."</f>
        <v>210 University Dr.</v>
      </c>
      <c r="E116" s="1" t="str">
        <f t="shared" si="3"/>
        <v>College Station</v>
      </c>
      <c r="F116" s="1" t="str">
        <f t="shared" si="4"/>
        <v>77843</v>
      </c>
      <c r="G116" t="s">
        <v>9</v>
      </c>
    </row>
    <row r="117" spans="1:7" ht="15" customHeight="1">
      <c r="A117" s="1" t="str">
        <f>"0416"</f>
        <v>0416</v>
      </c>
      <c r="B117" s="1" t="str">
        <f>"BIZL"</f>
        <v>BIZL</v>
      </c>
      <c r="C117" s="1" t="str">
        <f>"BIZZELL HALL"</f>
        <v>BIZZELL HALL</v>
      </c>
      <c r="D117" s="1" t="str">
        <f>"471 Houston St."</f>
        <v>471 Houston St.</v>
      </c>
      <c r="E117" s="1" t="str">
        <f t="shared" si="3"/>
        <v>College Station</v>
      </c>
      <c r="F117" s="1" t="str">
        <f t="shared" si="4"/>
        <v>77843</v>
      </c>
      <c r="G117" t="s">
        <v>9</v>
      </c>
    </row>
    <row r="118" spans="1:7" ht="15" customHeight="1">
      <c r="A118" s="1" t="str">
        <f>"0417"</f>
        <v>0417</v>
      </c>
      <c r="B118" s="1" t="str">
        <f>"HART"</f>
        <v>HART</v>
      </c>
      <c r="C118" s="1" t="str">
        <f>"HART RESIDENCE HALL"</f>
        <v>HART RESIDENCE HALL</v>
      </c>
      <c r="D118" s="1" t="str">
        <f>"460 Throckmorton St."</f>
        <v>460 Throckmorton St.</v>
      </c>
      <c r="E118" s="1" t="str">
        <f t="shared" si="3"/>
        <v>College Station</v>
      </c>
      <c r="F118" s="1" t="str">
        <f t="shared" si="4"/>
        <v>77843</v>
      </c>
      <c r="G118" t="s">
        <v>9</v>
      </c>
    </row>
    <row r="119" spans="1:7" ht="15" customHeight="1">
      <c r="A119" s="1" t="str">
        <f>"0419"</f>
        <v>0419</v>
      </c>
      <c r="B119" s="1" t="str">
        <f>"LEGE"</f>
        <v>LEGE</v>
      </c>
      <c r="C119" s="1" t="str">
        <f>"LEGETT RESIDENCE HALL"</f>
        <v>LEGETT RESIDENCE HALL</v>
      </c>
      <c r="D119" s="1" t="str">
        <f>"422 Ross St."</f>
        <v>422 Ross St.</v>
      </c>
      <c r="E119" s="1" t="str">
        <f t="shared" si="3"/>
        <v>College Station</v>
      </c>
      <c r="F119" s="1" t="str">
        <f t="shared" si="4"/>
        <v>77843</v>
      </c>
      <c r="G119" t="s">
        <v>9</v>
      </c>
    </row>
    <row r="120" spans="1:7" ht="15" customHeight="1">
      <c r="A120" s="1" t="str">
        <f>"0420"</f>
        <v>0420</v>
      </c>
      <c r="B120" s="1" t="str">
        <f>"MILN"</f>
        <v>MILN</v>
      </c>
      <c r="C120" s="1" t="str">
        <f>"MILNER HALL"</f>
        <v>MILNER HALL</v>
      </c>
      <c r="D120" s="1" t="str">
        <f>"425 Ross St."</f>
        <v>425 Ross St.</v>
      </c>
      <c r="E120" s="1" t="str">
        <f t="shared" si="3"/>
        <v>College Station</v>
      </c>
      <c r="F120" s="1" t="str">
        <f t="shared" si="4"/>
        <v>77843</v>
      </c>
      <c r="G120" t="s">
        <v>9</v>
      </c>
    </row>
    <row r="121" spans="1:7" ht="15" customHeight="1">
      <c r="A121" s="1" t="str">
        <f>"0422"</f>
        <v>0422</v>
      </c>
      <c r="B121" s="1" t="str">
        <f>"WALT"</f>
        <v>WALT</v>
      </c>
      <c r="C121" s="1" t="str">
        <f>"WALTON RESIDENCE HALL"</f>
        <v>WALTON RESIDENCE HALL</v>
      </c>
      <c r="D121" s="1" t="str">
        <f>"166 Houston St."</f>
        <v>166 Houston St.</v>
      </c>
      <c r="E121" s="1" t="str">
        <f t="shared" si="3"/>
        <v>College Station</v>
      </c>
      <c r="F121" s="1" t="str">
        <f t="shared" si="4"/>
        <v>77843</v>
      </c>
      <c r="G121" t="s">
        <v>9</v>
      </c>
    </row>
    <row r="122" spans="1:7" ht="15" customHeight="1">
      <c r="A122" s="1" t="str">
        <f>"0424"</f>
        <v>0424</v>
      </c>
      <c r="B122" s="1" t="str">
        <f>"HOTA"</f>
        <v>HOTA</v>
      </c>
      <c r="C122" s="1" t="str">
        <f>"HOTARD HALL"</f>
        <v>HOTARD HALL</v>
      </c>
      <c r="D122" s="1" t="str">
        <f>"110 Asbury St."</f>
        <v>110 Asbury St.</v>
      </c>
      <c r="E122" s="1" t="str">
        <f t="shared" si="3"/>
        <v>College Station</v>
      </c>
      <c r="F122" s="1" t="str">
        <f t="shared" si="4"/>
        <v>77843</v>
      </c>
      <c r="G122" t="s">
        <v>9</v>
      </c>
    </row>
    <row r="123" spans="1:7" ht="15" customHeight="1">
      <c r="A123" s="1" t="str">
        <f>"0425"</f>
        <v>0425</v>
      </c>
      <c r="B123" s="1" t="str">
        <f>"HEND"</f>
        <v>HEND</v>
      </c>
      <c r="C123" s="1" t="str">
        <f>"HENDERSON HALL"</f>
        <v>HENDERSON HALL</v>
      </c>
      <c r="D123" s="1" t="str">
        <f>"222 Jones St."</f>
        <v>222 Jones St.</v>
      </c>
      <c r="E123" s="1" t="str">
        <f t="shared" si="3"/>
        <v>College Station</v>
      </c>
      <c r="F123" s="1" t="str">
        <f t="shared" si="4"/>
        <v>77843</v>
      </c>
      <c r="G123" t="s">
        <v>9</v>
      </c>
    </row>
    <row r="124" spans="1:7" ht="15" customHeight="1">
      <c r="A124" s="1" t="str">
        <f>"0426"</f>
        <v>0426</v>
      </c>
      <c r="B124" s="1" t="str">
        <f>"HUGH"</f>
        <v>HUGH</v>
      </c>
      <c r="C124" s="1" t="str">
        <f>"HUGHES RESIDENCE HALL"</f>
        <v>HUGHES RESIDENCE HALL</v>
      </c>
      <c r="D124" s="1" t="str">
        <f>"265 Jones St."</f>
        <v>265 Jones St.</v>
      </c>
      <c r="E124" s="1" t="str">
        <f t="shared" si="3"/>
        <v>College Station</v>
      </c>
      <c r="F124" s="1" t="str">
        <f t="shared" si="4"/>
        <v>77843</v>
      </c>
      <c r="G124" t="s">
        <v>9</v>
      </c>
    </row>
    <row r="125" spans="1:7" ht="15" customHeight="1">
      <c r="A125" s="1" t="str">
        <f>"0427"</f>
        <v>0427</v>
      </c>
      <c r="B125" s="1" t="str">
        <f>"FOWL"</f>
        <v>FOWL</v>
      </c>
      <c r="C125" s="1" t="str">
        <f>"FOWLER RESIDENCE HALL"</f>
        <v>FOWLER RESIDENCE HALL</v>
      </c>
      <c r="D125" s="1" t="str">
        <f>"225 Jones St."</f>
        <v>225 Jones St.</v>
      </c>
      <c r="E125" s="1" t="str">
        <f t="shared" si="3"/>
        <v>College Station</v>
      </c>
      <c r="F125" s="1" t="str">
        <f t="shared" si="4"/>
        <v>77843</v>
      </c>
      <c r="G125" t="s">
        <v>9</v>
      </c>
    </row>
    <row r="126" spans="1:7" ht="15" customHeight="1">
      <c r="A126" s="1" t="str">
        <f>"0428"</f>
        <v>0428</v>
      </c>
      <c r="B126" s="1" t="str">
        <f>"KEAT"</f>
        <v>KEAT</v>
      </c>
      <c r="C126" s="1" t="str">
        <f>"KEATHLEY RESIDENCE HALL"</f>
        <v>KEATHLEY RESIDENCE HALL</v>
      </c>
      <c r="D126" s="1" t="str">
        <f>"214 University Dr."</f>
        <v>214 University Dr.</v>
      </c>
      <c r="E126" s="1" t="str">
        <f t="shared" si="3"/>
        <v>College Station</v>
      </c>
      <c r="F126" s="1" t="str">
        <f t="shared" si="4"/>
        <v>77843</v>
      </c>
      <c r="G126" t="s">
        <v>9</v>
      </c>
    </row>
    <row r="127" spans="1:7" ht="15" customHeight="1">
      <c r="A127" s="1" t="str">
        <f>"0429"</f>
        <v>0429</v>
      </c>
      <c r="B127" s="1" t="str">
        <f>"MCIN"</f>
        <v>MCIN</v>
      </c>
      <c r="C127" s="1" t="str">
        <f>"MCINNIS RESIDENCE HALL"</f>
        <v>MCINNIS RESIDENCE HALL</v>
      </c>
      <c r="D127" s="1" t="str">
        <f>"306 University Dr."</f>
        <v>306 University Dr.</v>
      </c>
      <c r="E127" s="1" t="str">
        <f t="shared" si="3"/>
        <v>College Station</v>
      </c>
      <c r="F127" s="1" t="str">
        <f t="shared" si="4"/>
        <v>77843</v>
      </c>
      <c r="G127" t="s">
        <v>9</v>
      </c>
    </row>
    <row r="128" spans="1:7" ht="15" customHeight="1">
      <c r="A128" s="1" t="str">
        <f>"0430"</f>
        <v>0430</v>
      </c>
      <c r="B128" s="1" t="str">
        <f>"SCHU"</f>
        <v>SCHU</v>
      </c>
      <c r="C128" s="1" t="str">
        <f>"SCHUHMACHER RESIDENCE HALL"</f>
        <v>SCHUHMACHER RESIDENCE HALL</v>
      </c>
      <c r="D128" s="1" t="str">
        <f>"308 University Dr."</f>
        <v>308 University Dr.</v>
      </c>
      <c r="E128" s="1" t="str">
        <f t="shared" si="3"/>
        <v>College Station</v>
      </c>
      <c r="F128" s="1" t="str">
        <f t="shared" si="4"/>
        <v>77843</v>
      </c>
      <c r="G128" t="s">
        <v>9</v>
      </c>
    </row>
    <row r="129" spans="1:7" ht="15" customHeight="1">
      <c r="A129" s="1" t="str">
        <f>"0431"</f>
        <v>0431</v>
      </c>
      <c r="B129" s="1">
        <f>""</f>
      </c>
      <c r="C129" s="1" t="str">
        <f>"MAINTENANCE SHOP AT CENTRAL UTILITY PLANT"</f>
        <v>MAINTENANCE SHOP AT CENTRAL UTILITY PLANT</v>
      </c>
      <c r="D129" s="1" t="str">
        <f>"498 New St."</f>
        <v>498 New St.</v>
      </c>
      <c r="E129" s="1" t="str">
        <f t="shared" si="3"/>
        <v>College Station</v>
      </c>
      <c r="F129" s="1" t="str">
        <f t="shared" si="4"/>
        <v>77843</v>
      </c>
      <c r="G129" t="s">
        <v>9</v>
      </c>
    </row>
    <row r="130" spans="1:7" ht="15" customHeight="1">
      <c r="A130" s="1" t="str">
        <f>"0432"</f>
        <v>0432</v>
      </c>
      <c r="B130" s="1" t="str">
        <f>"ARCC"</f>
        <v>ARCC</v>
      </c>
      <c r="C130" s="1" t="str">
        <f>"ARCHITECTURE BUILDING C"</f>
        <v>ARCHITECTURE BUILDING C</v>
      </c>
      <c r="D130" s="1" t="str">
        <f>"788 Ross St."</f>
        <v>788 Ross St.</v>
      </c>
      <c r="E130" s="1" t="str">
        <f aca="true" t="shared" si="5" ref="E130:E193">"College Station"</f>
        <v>College Station</v>
      </c>
      <c r="F130" s="1" t="str">
        <f aca="true" t="shared" si="6" ref="F130:F193">"77843"</f>
        <v>77843</v>
      </c>
      <c r="G130" t="s">
        <v>9</v>
      </c>
    </row>
    <row r="131" spans="1:7" ht="15" customHeight="1">
      <c r="A131" s="1" t="str">
        <f>"0433"</f>
        <v>0433</v>
      </c>
      <c r="B131" s="1" t="str">
        <f>"MOSH"</f>
        <v>MOSH</v>
      </c>
      <c r="C131" s="1" t="str">
        <f>"MOSHER RESIDENCE HALL"</f>
        <v>MOSHER RESIDENCE HALL</v>
      </c>
      <c r="D131" s="1" t="str">
        <f>"725 Mosher Ln."</f>
        <v>725 Mosher Ln.</v>
      </c>
      <c r="E131" s="1" t="str">
        <f t="shared" si="5"/>
        <v>College Station</v>
      </c>
      <c r="F131" s="1" t="str">
        <f t="shared" si="6"/>
        <v>77843</v>
      </c>
      <c r="G131" t="s">
        <v>9</v>
      </c>
    </row>
    <row r="132" spans="1:7" ht="15" customHeight="1">
      <c r="A132" s="1" t="str">
        <f>"0434"</f>
        <v>0434</v>
      </c>
      <c r="B132" s="1" t="str">
        <f>"CYCL"</f>
        <v>CYCL</v>
      </c>
      <c r="C132" s="1" t="str">
        <f>"LUEDECKE BUILDING (CYCLOTRON)"</f>
        <v>LUEDECKE BUILDING (CYCLOTRON)</v>
      </c>
      <c r="D132" s="1" t="str">
        <f>"120 Spence St."</f>
        <v>120 Spence St.</v>
      </c>
      <c r="E132" s="1" t="str">
        <f t="shared" si="5"/>
        <v>College Station</v>
      </c>
      <c r="F132" s="1" t="str">
        <f t="shared" si="6"/>
        <v>77843</v>
      </c>
      <c r="G132" t="s">
        <v>9</v>
      </c>
    </row>
    <row r="133" spans="1:7" ht="15" customHeight="1">
      <c r="A133" s="1" t="str">
        <f>"0435"</f>
        <v>0435</v>
      </c>
      <c r="B133" s="1" t="str">
        <f>"EDCT"</f>
        <v>EDCT</v>
      </c>
      <c r="C133" s="1" t="str">
        <f>"HARRINGTON EDUCATION CENTER OFFICE TOWER"</f>
        <v>HARRINGTON EDUCATION CENTER OFFICE TOWER</v>
      </c>
      <c r="D133" s="1" t="str">
        <f>"540 Ross St."</f>
        <v>540 Ross St.</v>
      </c>
      <c r="E133" s="1" t="str">
        <f t="shared" si="5"/>
        <v>College Station</v>
      </c>
      <c r="F133" s="1" t="str">
        <f t="shared" si="6"/>
        <v>77843</v>
      </c>
      <c r="G133" t="s">
        <v>9</v>
      </c>
    </row>
    <row r="134" spans="1:7" ht="15" customHeight="1">
      <c r="A134" s="1" t="str">
        <f>"0436"</f>
        <v>0436</v>
      </c>
      <c r="B134" s="1" t="str">
        <f>"RDMC"</f>
        <v>RDMC</v>
      </c>
      <c r="C134" s="1" t="str">
        <f>"REED-MCDONALD BUILDING"</f>
        <v>REED-MCDONALD BUILDING</v>
      </c>
      <c r="D134" s="1" t="str">
        <f>"575 Ross St."</f>
        <v>575 Ross St.</v>
      </c>
      <c r="E134" s="1" t="str">
        <f t="shared" si="5"/>
        <v>College Station</v>
      </c>
      <c r="F134" s="1" t="str">
        <f t="shared" si="6"/>
        <v>77843</v>
      </c>
      <c r="G134" t="s">
        <v>9</v>
      </c>
    </row>
    <row r="135" spans="1:7" ht="15" customHeight="1">
      <c r="A135" s="1" t="str">
        <f>"0438"</f>
        <v>0438</v>
      </c>
      <c r="B135" s="1" t="str">
        <f>"HECC"</f>
        <v>HECC</v>
      </c>
      <c r="C135" s="1" t="str">
        <f>"HARRINGTON EDUCATION CENTER CLASSROOM BUILDING"</f>
        <v>HARRINGTON EDUCATION CENTER CLASSROOM BUILDING</v>
      </c>
      <c r="D135" s="1" t="str">
        <f>"544 Ross St."</f>
        <v>544 Ross St.</v>
      </c>
      <c r="E135" s="1" t="str">
        <f t="shared" si="5"/>
        <v>College Station</v>
      </c>
      <c r="F135" s="1" t="str">
        <f t="shared" si="6"/>
        <v>77843</v>
      </c>
      <c r="G135" t="s">
        <v>9</v>
      </c>
    </row>
    <row r="136" spans="1:7" ht="15" customHeight="1">
      <c r="A136" s="1" t="str">
        <f>"0439"</f>
        <v>0439</v>
      </c>
      <c r="B136" s="1" t="str">
        <f>"CAIN"</f>
        <v>CAIN</v>
      </c>
      <c r="C136" s="1" t="str">
        <f>"CAIN HALL"</f>
        <v>CAIN HALL</v>
      </c>
      <c r="D136" s="1" t="str">
        <f>"500 Clark St."</f>
        <v>500 Clark St.</v>
      </c>
      <c r="E136" s="1" t="str">
        <f t="shared" si="5"/>
        <v>College Station</v>
      </c>
      <c r="F136" s="1" t="str">
        <f t="shared" si="6"/>
        <v>77843</v>
      </c>
      <c r="G136" t="s">
        <v>9</v>
      </c>
    </row>
    <row r="137" spans="1:7" ht="15" customHeight="1">
      <c r="A137" s="1" t="str">
        <f>"0440"</f>
        <v>0440</v>
      </c>
      <c r="B137" s="1" t="str">
        <f>"COMM"</f>
        <v>COMM</v>
      </c>
      <c r="C137" s="1" t="str">
        <f>"COMMONS"</f>
        <v>COMMONS</v>
      </c>
      <c r="D137" s="1" t="str">
        <f>"676 Lubbock St."</f>
        <v>676 Lubbock St.</v>
      </c>
      <c r="E137" s="1" t="str">
        <f t="shared" si="5"/>
        <v>College Station</v>
      </c>
      <c r="F137" s="1" t="str">
        <f t="shared" si="6"/>
        <v>77843</v>
      </c>
      <c r="G137" t="s">
        <v>9</v>
      </c>
    </row>
    <row r="138" spans="1:7" ht="15" customHeight="1">
      <c r="A138" s="1" t="str">
        <f>"0441"</f>
        <v>0441</v>
      </c>
      <c r="B138" s="1" t="str">
        <f>"KRUE"</f>
        <v>KRUE</v>
      </c>
      <c r="C138" s="1" t="str">
        <f>"KRUEGER RESIDENCE HALL"</f>
        <v>KRUEGER RESIDENCE HALL</v>
      </c>
      <c r="D138" s="1" t="str">
        <f>"722 Lubbock St."</f>
        <v>722 Lubbock St.</v>
      </c>
      <c r="E138" s="1" t="str">
        <f t="shared" si="5"/>
        <v>College Station</v>
      </c>
      <c r="F138" s="1" t="str">
        <f t="shared" si="6"/>
        <v>77843</v>
      </c>
      <c r="G138" t="s">
        <v>9</v>
      </c>
    </row>
    <row r="139" spans="1:7" ht="15" customHeight="1">
      <c r="A139" s="1" t="str">
        <f>"0442"</f>
        <v>0442</v>
      </c>
      <c r="B139" s="1" t="str">
        <f>"DUNN"</f>
        <v>DUNN</v>
      </c>
      <c r="C139" s="1" t="str">
        <f>"DUNN RESIDENCE HALL"</f>
        <v>DUNN RESIDENCE HALL</v>
      </c>
      <c r="D139" s="1" t="str">
        <f>"636 Lubbock St."</f>
        <v>636 Lubbock St.</v>
      </c>
      <c r="E139" s="1" t="str">
        <f t="shared" si="5"/>
        <v>College Station</v>
      </c>
      <c r="F139" s="1" t="str">
        <f t="shared" si="6"/>
        <v>77843</v>
      </c>
      <c r="G139" t="s">
        <v>9</v>
      </c>
    </row>
    <row r="140" spans="1:7" ht="15" customHeight="1">
      <c r="A140" s="1" t="str">
        <f>"0443"</f>
        <v>0443</v>
      </c>
      <c r="B140" s="1" t="str">
        <f>"O&amp;M"</f>
        <v>O&amp;M</v>
      </c>
      <c r="C140" s="1" t="str">
        <f>"OCEANOGRAPHY &amp; METEOROLOGY BUILDING"</f>
        <v>OCEANOGRAPHY &amp; METEOROLOGY BUILDING</v>
      </c>
      <c r="D140" s="1" t="str">
        <f>"797 Lamar St."</f>
        <v>797 Lamar St.</v>
      </c>
      <c r="E140" s="1" t="str">
        <f t="shared" si="5"/>
        <v>College Station</v>
      </c>
      <c r="F140" s="1" t="str">
        <f t="shared" si="6"/>
        <v>77843</v>
      </c>
      <c r="G140" t="s">
        <v>9</v>
      </c>
    </row>
    <row r="141" spans="1:7" ht="15" customHeight="1">
      <c r="A141" s="1" t="str">
        <f>"0444"</f>
        <v>0444</v>
      </c>
      <c r="B141" s="1" t="str">
        <f>"PETR"</f>
        <v>PETR</v>
      </c>
      <c r="C141" s="1" t="str">
        <f>"PETERSON BUILDING"</f>
        <v>PETERSON BUILDING</v>
      </c>
      <c r="D141" s="1" t="str">
        <f>"435 Nagle St."</f>
        <v>435 Nagle St.</v>
      </c>
      <c r="E141" s="1" t="str">
        <f t="shared" si="5"/>
        <v>College Station</v>
      </c>
      <c r="F141" s="1" t="str">
        <f t="shared" si="6"/>
        <v>77843</v>
      </c>
      <c r="G141" t="s">
        <v>9</v>
      </c>
    </row>
    <row r="142" spans="1:7" ht="15" customHeight="1">
      <c r="A142" s="1" t="str">
        <f>"0445"</f>
        <v>0445</v>
      </c>
      <c r="B142" s="1" t="str">
        <f>"TEAG"</f>
        <v>TEAG</v>
      </c>
      <c r="C142" s="1" t="str">
        <f>"TEAGUE RESEARCH CENTER"</f>
        <v>TEAGUE RESEARCH CENTER</v>
      </c>
      <c r="D142" s="1" t="str">
        <f>"735 Lamar St."</f>
        <v>735 Lamar St.</v>
      </c>
      <c r="E142" s="1" t="str">
        <f t="shared" si="5"/>
        <v>College Station</v>
      </c>
      <c r="F142" s="1" t="str">
        <f t="shared" si="6"/>
        <v>77843</v>
      </c>
      <c r="G142" t="s">
        <v>9</v>
      </c>
    </row>
    <row r="143" spans="1:7" ht="15" customHeight="1">
      <c r="A143" s="1" t="str">
        <f>"0446"</f>
        <v>0446</v>
      </c>
      <c r="B143" s="1" t="str">
        <f>"RDER"</f>
        <v>RDER</v>
      </c>
      <c r="C143" s="1" t="str">
        <f>"RUDDER TOWER"</f>
        <v>RUDDER TOWER</v>
      </c>
      <c r="D143" s="1" t="str">
        <f>"401 Joe Routt Bl."</f>
        <v>401 Joe Routt Bl.</v>
      </c>
      <c r="E143" s="1" t="str">
        <f t="shared" si="5"/>
        <v>College Station</v>
      </c>
      <c r="F143" s="1" t="str">
        <f t="shared" si="6"/>
        <v>77843</v>
      </c>
      <c r="G143" t="s">
        <v>9</v>
      </c>
    </row>
    <row r="144" spans="1:7" ht="15" customHeight="1">
      <c r="A144" s="1" t="str">
        <f>"0447"</f>
        <v>0447</v>
      </c>
      <c r="B144" s="1" t="str">
        <f>"ASTO"</f>
        <v>ASTO</v>
      </c>
      <c r="C144" s="1" t="str">
        <f>"ASTON RESIDENCE HALL"</f>
        <v>ASTON RESIDENCE HALL</v>
      </c>
      <c r="D144" s="1" t="str">
        <f>"655 Mosher Ln."</f>
        <v>655 Mosher Ln.</v>
      </c>
      <c r="E144" s="1" t="str">
        <f t="shared" si="5"/>
        <v>College Station</v>
      </c>
      <c r="F144" s="1" t="str">
        <f t="shared" si="6"/>
        <v>77843</v>
      </c>
      <c r="G144" t="s">
        <v>9</v>
      </c>
    </row>
    <row r="145" spans="1:7" ht="15" customHeight="1">
      <c r="A145" s="1" t="str">
        <f>"0448"</f>
        <v>0448</v>
      </c>
      <c r="B145" s="1" t="str">
        <f>"ADAM"</f>
        <v>ADAM</v>
      </c>
      <c r="C145" s="1" t="str">
        <f>"ADAMS BAND HALL"</f>
        <v>ADAMS BAND HALL</v>
      </c>
      <c r="D145" s="1" t="str">
        <f>"611 Lewis St."</f>
        <v>611 Lewis St.</v>
      </c>
      <c r="E145" s="1" t="str">
        <f t="shared" si="5"/>
        <v>College Station</v>
      </c>
      <c r="F145" s="1" t="str">
        <f t="shared" si="6"/>
        <v>77843</v>
      </c>
      <c r="G145" t="s">
        <v>9</v>
      </c>
    </row>
    <row r="146" spans="1:7" ht="15" customHeight="1">
      <c r="A146" s="1" t="str">
        <f>"0449"</f>
        <v>0449</v>
      </c>
      <c r="B146" s="1" t="str">
        <f>"BSBW"</f>
        <v>BSBW</v>
      </c>
      <c r="C146" s="1" t="str">
        <f>"BIOLOGICAL SCIENCES BLDG. WEST"</f>
        <v>BIOLOGICAL SCIENCES BLDG. WEST</v>
      </c>
      <c r="D146" s="1" t="str">
        <f>"424 Nagle St."</f>
        <v>424 Nagle St.</v>
      </c>
      <c r="E146" s="1" t="str">
        <f t="shared" si="5"/>
        <v>College Station</v>
      </c>
      <c r="F146" s="1" t="str">
        <f t="shared" si="6"/>
        <v>77843</v>
      </c>
      <c r="G146" t="s">
        <v>9</v>
      </c>
    </row>
    <row r="147" spans="1:7" ht="15" customHeight="1">
      <c r="A147" s="1" t="str">
        <f>"0450"</f>
        <v>0450</v>
      </c>
      <c r="B147" s="1" t="str">
        <f>"DCAN"</f>
        <v>DCAN</v>
      </c>
      <c r="C147" s="1" t="str">
        <f>"DUNCAN DINING HALL"</f>
        <v>DUNCAN DINING HALL</v>
      </c>
      <c r="D147" s="1" t="str">
        <f>"777 Military Mall"</f>
        <v>777 Military Mall</v>
      </c>
      <c r="E147" s="1" t="str">
        <f t="shared" si="5"/>
        <v>College Station</v>
      </c>
      <c r="F147" s="1" t="str">
        <f t="shared" si="6"/>
        <v>77843</v>
      </c>
      <c r="G147" t="s">
        <v>9</v>
      </c>
    </row>
    <row r="148" spans="1:7" ht="15" customHeight="1">
      <c r="A148" s="1" t="str">
        <f>"0453"</f>
        <v>0453</v>
      </c>
      <c r="B148" s="1" t="str">
        <f>"COLS"</f>
        <v>COLS</v>
      </c>
      <c r="C148" s="1" t="str">
        <f>"G. ROLLIE WHITE COLISEUM"</f>
        <v>G. ROLLIE WHITE COLISEUM</v>
      </c>
      <c r="D148" s="1" t="str">
        <f>"300 Joe Routt Bl."</f>
        <v>300 Joe Routt Bl.</v>
      </c>
      <c r="E148" s="1" t="str">
        <f t="shared" si="5"/>
        <v>College Station</v>
      </c>
      <c r="F148" s="1" t="str">
        <f t="shared" si="6"/>
        <v>77843</v>
      </c>
      <c r="G148" t="s">
        <v>9</v>
      </c>
    </row>
    <row r="149" spans="1:7" ht="15" customHeight="1">
      <c r="A149" s="1" t="str">
        <f>"0454"</f>
        <v>0454</v>
      </c>
      <c r="B149" s="1" t="str">
        <f>"MSC"</f>
        <v>MSC</v>
      </c>
      <c r="C149" s="1" t="str">
        <f>"MEMORIAL STUDENT CENTER"</f>
        <v>MEMORIAL STUDENT CENTER</v>
      </c>
      <c r="D149" s="1" t="str">
        <f>"275 Joe Routt Bl."</f>
        <v>275 Joe Routt Bl.</v>
      </c>
      <c r="E149" s="1" t="str">
        <f t="shared" si="5"/>
        <v>College Station</v>
      </c>
      <c r="F149" s="1" t="str">
        <f t="shared" si="6"/>
        <v>77843</v>
      </c>
      <c r="G149" t="s">
        <v>9</v>
      </c>
    </row>
    <row r="150" spans="1:7" ht="15" customHeight="1">
      <c r="A150" s="1" t="str">
        <f>"0456"</f>
        <v>0456</v>
      </c>
      <c r="B150" s="1" t="str">
        <f>"MILS"</f>
        <v>MILS</v>
      </c>
      <c r="C150" s="1" t="str">
        <f>"MILITARY SCIENCES BUILDING"</f>
        <v>MILITARY SCIENCES BUILDING</v>
      </c>
      <c r="D150" s="1" t="str">
        <f>"520 Coke St."</f>
        <v>520 Coke St.</v>
      </c>
      <c r="E150" s="1" t="str">
        <f t="shared" si="5"/>
        <v>College Station</v>
      </c>
      <c r="F150" s="1" t="str">
        <f t="shared" si="6"/>
        <v>77843</v>
      </c>
      <c r="G150" t="s">
        <v>9</v>
      </c>
    </row>
    <row r="151" spans="1:7" ht="15" customHeight="1">
      <c r="A151" s="1" t="str">
        <f>"0457"</f>
        <v>0457</v>
      </c>
      <c r="B151" s="1" t="str">
        <f>"TAES"</f>
        <v>TAES</v>
      </c>
      <c r="C151" s="1" t="str">
        <f>"TAES ANNEX BUILDING"</f>
        <v>TAES ANNEX BUILDING</v>
      </c>
      <c r="D151" s="1" t="str">
        <f>"730 Lamar St."</f>
        <v>730 Lamar St.</v>
      </c>
      <c r="E151" s="1" t="str">
        <f t="shared" si="5"/>
        <v>College Station</v>
      </c>
      <c r="F151" s="1" t="str">
        <f t="shared" si="6"/>
        <v>77843</v>
      </c>
      <c r="G151" t="s">
        <v>9</v>
      </c>
    </row>
    <row r="152" spans="1:7" ht="15" customHeight="1">
      <c r="A152" s="1" t="str">
        <f>"0458"</f>
        <v>0458</v>
      </c>
      <c r="B152" s="1" t="str">
        <f>"FLGH"</f>
        <v>FLGH</v>
      </c>
      <c r="C152" s="1" t="str">
        <f>"FLORICULTURE GREENHOUSE"</f>
        <v>FLORICULTURE GREENHOUSE</v>
      </c>
      <c r="D152" s="1" t="str">
        <f>"588 Lamar St."</f>
        <v>588 Lamar St.</v>
      </c>
      <c r="E152" s="1" t="str">
        <f t="shared" si="5"/>
        <v>College Station</v>
      </c>
      <c r="F152" s="1" t="str">
        <f t="shared" si="6"/>
        <v>77843</v>
      </c>
      <c r="G152" t="s">
        <v>9</v>
      </c>
    </row>
    <row r="153" spans="1:7" ht="15" customHeight="1">
      <c r="A153" s="1" t="str">
        <f>"0459"</f>
        <v>0459</v>
      </c>
      <c r="B153" s="1" t="str">
        <f>"HTGH"</f>
        <v>HTGH</v>
      </c>
      <c r="C153" s="1" t="str">
        <f>"HORTICULTURE GREENHOUSE"</f>
        <v>HORTICULTURE GREENHOUSE</v>
      </c>
      <c r="D153" s="1" t="str">
        <f>"620 Lamar St."</f>
        <v>620 Lamar St.</v>
      </c>
      <c r="E153" s="1" t="str">
        <f t="shared" si="5"/>
        <v>College Station</v>
      </c>
      <c r="F153" s="1" t="str">
        <f t="shared" si="6"/>
        <v>77843</v>
      </c>
      <c r="G153" t="s">
        <v>9</v>
      </c>
    </row>
    <row r="154" spans="1:7" ht="15" customHeight="1">
      <c r="A154" s="1" t="str">
        <f>"0460"</f>
        <v>0460</v>
      </c>
      <c r="B154" s="1" t="str">
        <f>"FGGH"</f>
        <v>FGGH</v>
      </c>
      <c r="C154" s="1" t="str">
        <f>"FOREST GENETICS - GREENHOUSE"</f>
        <v>FOREST GENETICS - GREENHOUSE</v>
      </c>
      <c r="D154" s="1" t="str">
        <f>"646 Lamar St."</f>
        <v>646 Lamar St.</v>
      </c>
      <c r="E154" s="1" t="str">
        <f t="shared" si="5"/>
        <v>College Station</v>
      </c>
      <c r="F154" s="1" t="str">
        <f t="shared" si="6"/>
        <v>77843</v>
      </c>
      <c r="G154" t="s">
        <v>9</v>
      </c>
    </row>
    <row r="155" spans="1:7" ht="15" customHeight="1">
      <c r="A155" s="1" t="str">
        <f>"0461"</f>
        <v>0461</v>
      </c>
      <c r="B155" s="1" t="str">
        <f>"COKE"</f>
        <v>COKE</v>
      </c>
      <c r="C155" s="1" t="str">
        <f>"COKE BUILDING"</f>
        <v>COKE BUILDING</v>
      </c>
      <c r="D155" s="1" t="str">
        <f>"415 Houston St."</f>
        <v>415 Houston St.</v>
      </c>
      <c r="E155" s="1" t="str">
        <f t="shared" si="5"/>
        <v>College Station</v>
      </c>
      <c r="F155" s="1" t="str">
        <f t="shared" si="6"/>
        <v>77843</v>
      </c>
      <c r="G155" t="s">
        <v>9</v>
      </c>
    </row>
    <row r="156" spans="1:7" ht="15" customHeight="1">
      <c r="A156" s="1" t="str">
        <f>"0462"</f>
        <v>0462</v>
      </c>
      <c r="B156" s="1" t="str">
        <f>"ACAD"</f>
        <v>ACAD</v>
      </c>
      <c r="C156" s="1" t="str">
        <f>"ACADEMIC BUILDING"</f>
        <v>ACADEMIC BUILDING</v>
      </c>
      <c r="D156" s="1" t="str">
        <f>"377 Houston St."</f>
        <v>377 Houston St.</v>
      </c>
      <c r="E156" s="1" t="str">
        <f t="shared" si="5"/>
        <v>College Station</v>
      </c>
      <c r="F156" s="1" t="str">
        <f t="shared" si="6"/>
        <v>77843</v>
      </c>
      <c r="G156" t="s">
        <v>9</v>
      </c>
    </row>
    <row r="157" spans="1:7" ht="15" customHeight="1">
      <c r="A157" s="1" t="str">
        <f>"0463"</f>
        <v>0463</v>
      </c>
      <c r="B157" s="1" t="str">
        <f>"PSYC"</f>
        <v>PSYC</v>
      </c>
      <c r="C157" s="1" t="str">
        <f>"PSYCHOLOGY BUILDING"</f>
        <v>PSYCHOLOGY BUILDING</v>
      </c>
      <c r="D157" s="1" t="str">
        <f>"515 Coke St."</f>
        <v>515 Coke St.</v>
      </c>
      <c r="E157" s="1" t="str">
        <f t="shared" si="5"/>
        <v>College Station</v>
      </c>
      <c r="F157" s="1" t="str">
        <f t="shared" si="6"/>
        <v>77843</v>
      </c>
      <c r="G157" t="s">
        <v>9</v>
      </c>
    </row>
    <row r="158" spans="1:7" ht="15" customHeight="1">
      <c r="A158" s="1" t="str">
        <f>"0464"</f>
        <v>0464</v>
      </c>
      <c r="B158" s="1" t="str">
        <f>"STCH"</f>
        <v>STCH</v>
      </c>
      <c r="C158" s="1" t="str">
        <f>"STATE CHEMIST BUILDING"</f>
        <v>STATE CHEMIST BUILDING</v>
      </c>
      <c r="D158" s="1" t="str">
        <f>"533 Coke St."</f>
        <v>533 Coke St.</v>
      </c>
      <c r="E158" s="1" t="str">
        <f t="shared" si="5"/>
        <v>College Station</v>
      </c>
      <c r="F158" s="1" t="str">
        <f t="shared" si="6"/>
        <v>77843</v>
      </c>
      <c r="G158" t="s">
        <v>9</v>
      </c>
    </row>
    <row r="159" spans="1:7" ht="15" customHeight="1">
      <c r="A159" s="1" t="str">
        <f>"0465"</f>
        <v>0465</v>
      </c>
      <c r="B159" s="1" t="str">
        <f>"BTLR"</f>
        <v>BTLR</v>
      </c>
      <c r="C159" s="1" t="str">
        <f>"BUTLER HALL"</f>
        <v>BUTLER HALL</v>
      </c>
      <c r="D159" s="1" t="str">
        <f>"525 Lubbock St."</f>
        <v>525 Lubbock St.</v>
      </c>
      <c r="E159" s="1" t="str">
        <f t="shared" si="5"/>
        <v>College Station</v>
      </c>
      <c r="F159" s="1" t="str">
        <f t="shared" si="6"/>
        <v>77843</v>
      </c>
      <c r="G159" t="s">
        <v>9</v>
      </c>
    </row>
    <row r="160" spans="1:7" ht="15" customHeight="1">
      <c r="A160" s="1" t="str">
        <f>"0467"</f>
        <v>0467</v>
      </c>
      <c r="B160" s="1" t="str">
        <f>"BSBE"</f>
        <v>BSBE</v>
      </c>
      <c r="C160" s="1" t="str">
        <f>"BIOLOGICAL SCIENCES BLDG. EAST"</f>
        <v>BIOLOGICAL SCIENCES BLDG. EAST</v>
      </c>
      <c r="D160" s="1" t="str">
        <f>"424 Nagle St."</f>
        <v>424 Nagle St.</v>
      </c>
      <c r="E160" s="1" t="str">
        <f t="shared" si="5"/>
        <v>College Station</v>
      </c>
      <c r="F160" s="1" t="str">
        <f t="shared" si="6"/>
        <v>77843</v>
      </c>
      <c r="G160" t="s">
        <v>9</v>
      </c>
    </row>
    <row r="161" spans="1:7" ht="15" customHeight="1">
      <c r="A161" s="1" t="str">
        <f>"0468"</f>
        <v>0468</v>
      </c>
      <c r="B161" s="1" t="str">
        <f>"LIBR"</f>
        <v>LIBR</v>
      </c>
      <c r="C161" s="1" t="str">
        <f>"EVANS LIBRARY"</f>
        <v>EVANS LIBRARY</v>
      </c>
      <c r="D161" s="1" t="str">
        <f>"400 Spence St."</f>
        <v>400 Spence St.</v>
      </c>
      <c r="E161" s="1" t="str">
        <f t="shared" si="5"/>
        <v>College Station</v>
      </c>
      <c r="F161" s="1" t="str">
        <f t="shared" si="6"/>
        <v>77843</v>
      </c>
      <c r="G161" t="s">
        <v>9</v>
      </c>
    </row>
    <row r="162" spans="1:7" ht="15" customHeight="1">
      <c r="A162" s="1" t="str">
        <f>"0469"</f>
        <v>0469</v>
      </c>
      <c r="B162" s="1" t="str">
        <f>"CCPG"</f>
        <v>CCPG</v>
      </c>
      <c r="C162" s="1" t="str">
        <f>"CENTRAL CAMPUS PARKING GARAGE"</f>
        <v>CENTRAL CAMPUS PARKING GARAGE</v>
      </c>
      <c r="D162" s="1" t="str">
        <f>"450 Spence St."</f>
        <v>450 Spence St.</v>
      </c>
      <c r="E162" s="1" t="str">
        <f t="shared" si="5"/>
        <v>College Station</v>
      </c>
      <c r="F162" s="1" t="str">
        <f t="shared" si="6"/>
        <v>77843</v>
      </c>
      <c r="G162" t="s">
        <v>9</v>
      </c>
    </row>
    <row r="163" spans="1:7" ht="15" customHeight="1">
      <c r="A163" s="1" t="str">
        <f>"0470"</f>
        <v>0470</v>
      </c>
      <c r="B163" s="1" t="str">
        <f>"GLAS"</f>
        <v>GLAS</v>
      </c>
      <c r="C163" s="1" t="str">
        <f>"MELBERN G. GLASSCOCK BUILDING"</f>
        <v>MELBERN G. GLASSCOCK BUILDING</v>
      </c>
      <c r="D163" s="1" t="str">
        <f>"398 Spence St."</f>
        <v>398 Spence St.</v>
      </c>
      <c r="E163" s="1" t="str">
        <f t="shared" si="5"/>
        <v>College Station</v>
      </c>
      <c r="F163" s="1" t="str">
        <f t="shared" si="6"/>
        <v>77843</v>
      </c>
      <c r="G163" t="s">
        <v>9</v>
      </c>
    </row>
    <row r="164" spans="1:7" ht="15" customHeight="1">
      <c r="A164" s="1" t="str">
        <f>"0471"</f>
        <v>0471</v>
      </c>
      <c r="B164" s="1" t="str">
        <f>"PAV"</f>
        <v>PAV</v>
      </c>
      <c r="C164" s="1" t="str">
        <f>"PAVILION"</f>
        <v>PAVILION</v>
      </c>
      <c r="D164" s="1" t="str">
        <f>"424 Spence St."</f>
        <v>424 Spence St.</v>
      </c>
      <c r="E164" s="1" t="str">
        <f t="shared" si="5"/>
        <v>College Station</v>
      </c>
      <c r="F164" s="1" t="str">
        <f t="shared" si="6"/>
        <v>77843</v>
      </c>
      <c r="G164" t="s">
        <v>9</v>
      </c>
    </row>
    <row r="165" spans="1:7" ht="15" customHeight="1">
      <c r="A165" s="1" t="str">
        <f>"0472"</f>
        <v>0472</v>
      </c>
      <c r="B165" s="1" t="str">
        <f>"ANIN"</f>
        <v>ANIN</v>
      </c>
      <c r="C165" s="1" t="str">
        <f>"ANIMAL INDUSTRIES BUILDING"</f>
        <v>ANIMAL INDUSTRIES BUILDING</v>
      </c>
      <c r="D165" s="1" t="str">
        <f>"423 Spence St."</f>
        <v>423 Spence St.</v>
      </c>
      <c r="E165" s="1" t="str">
        <f t="shared" si="5"/>
        <v>College Station</v>
      </c>
      <c r="F165" s="1" t="str">
        <f t="shared" si="6"/>
        <v>77843</v>
      </c>
      <c r="G165" t="s">
        <v>9</v>
      </c>
    </row>
    <row r="166" spans="1:7" ht="15" customHeight="1">
      <c r="A166" s="1" t="str">
        <f>"0473"</f>
        <v>0473</v>
      </c>
      <c r="B166" s="1" t="str">
        <f>"ADMN"</f>
        <v>ADMN</v>
      </c>
      <c r="C166" s="1" t="str">
        <f>"JACK K. WILLIAMS ADMINISTRATION BUILDING"</f>
        <v>JACK K. WILLIAMS ADMINISTRATION BUILDING</v>
      </c>
      <c r="D166" s="1" t="str">
        <f>"400 Bizzell St."</f>
        <v>400 Bizzell St.</v>
      </c>
      <c r="E166" s="1" t="str">
        <f t="shared" si="5"/>
        <v>College Station</v>
      </c>
      <c r="F166" s="1" t="str">
        <f t="shared" si="6"/>
        <v>77843</v>
      </c>
      <c r="G166" t="s">
        <v>9</v>
      </c>
    </row>
    <row r="167" spans="1:7" ht="15" customHeight="1">
      <c r="A167" s="1" t="str">
        <f>"0474"</f>
        <v>0474</v>
      </c>
      <c r="B167" s="1" t="str">
        <f>"YMCA"</f>
        <v>YMCA</v>
      </c>
      <c r="C167" s="1" t="str">
        <f>"YMCA BUILDING"</f>
        <v>YMCA BUILDING</v>
      </c>
      <c r="D167" s="1" t="str">
        <f>"365 Houston St."</f>
        <v>365 Houston St.</v>
      </c>
      <c r="E167" s="1" t="str">
        <f t="shared" si="5"/>
        <v>College Station</v>
      </c>
      <c r="F167" s="1" t="str">
        <f t="shared" si="6"/>
        <v>77843</v>
      </c>
      <c r="G167" t="s">
        <v>9</v>
      </c>
    </row>
    <row r="168" spans="1:7" ht="15" customHeight="1">
      <c r="A168" s="1" t="str">
        <f>"0476"</f>
        <v>0476</v>
      </c>
      <c r="B168" s="1" t="str">
        <f>"FRAN"</f>
        <v>FRAN</v>
      </c>
      <c r="C168" s="1" t="str">
        <f>"FRANCIS HALL"</f>
        <v>FRANCIS HALL</v>
      </c>
      <c r="D168" s="1" t="str">
        <f>"574 Ross St."</f>
        <v>574 Ross St.</v>
      </c>
      <c r="E168" s="1" t="str">
        <f t="shared" si="5"/>
        <v>College Station</v>
      </c>
      <c r="F168" s="1" t="str">
        <f t="shared" si="6"/>
        <v>77843</v>
      </c>
      <c r="G168" t="s">
        <v>9</v>
      </c>
    </row>
    <row r="169" spans="1:7" ht="15" customHeight="1">
      <c r="A169" s="1" t="str">
        <f>"0477"</f>
        <v>0477</v>
      </c>
      <c r="B169" s="1" t="str">
        <f>"ANTH"</f>
        <v>ANTH</v>
      </c>
      <c r="C169" s="1" t="str">
        <f>"ANTHROPOLOGY BUILDING"</f>
        <v>ANTHROPOLOGY BUILDING</v>
      </c>
      <c r="D169" s="1" t="str">
        <f>"340 Spence St."</f>
        <v>340 Spence St.</v>
      </c>
      <c r="E169" s="1" t="str">
        <f t="shared" si="5"/>
        <v>College Station</v>
      </c>
      <c r="F169" s="1" t="str">
        <f t="shared" si="6"/>
        <v>77843</v>
      </c>
      <c r="G169" t="s">
        <v>9</v>
      </c>
    </row>
    <row r="170" spans="1:7" ht="15" customHeight="1">
      <c r="A170" s="1" t="str">
        <f>"0478"</f>
        <v>0478</v>
      </c>
      <c r="B170" s="1" t="str">
        <f>"SCTS"</f>
        <v>SCTS</v>
      </c>
      <c r="C170" s="1" t="str">
        <f>"SCOATES HALL"</f>
        <v>SCOATES HALL</v>
      </c>
      <c r="D170" s="1" t="str">
        <f>"333 Spence St."</f>
        <v>333 Spence St.</v>
      </c>
      <c r="E170" s="1" t="str">
        <f t="shared" si="5"/>
        <v>College Station</v>
      </c>
      <c r="F170" s="1" t="str">
        <f t="shared" si="6"/>
        <v>77843</v>
      </c>
      <c r="G170" t="s">
        <v>9</v>
      </c>
    </row>
    <row r="171" spans="1:7" ht="15" customHeight="1">
      <c r="A171" s="1" t="str">
        <f>"0480"</f>
        <v>0480</v>
      </c>
      <c r="B171" s="1" t="str">
        <f>"BLTN"</f>
        <v>BLTN</v>
      </c>
      <c r="C171" s="1" t="str">
        <f>"BOLTON HALL"</f>
        <v>BOLTON HALL</v>
      </c>
      <c r="D171" s="1" t="str">
        <f>"456 Ross St."</f>
        <v>456 Ross St.</v>
      </c>
      <c r="E171" s="1" t="str">
        <f t="shared" si="5"/>
        <v>College Station</v>
      </c>
      <c r="F171" s="1" t="str">
        <f t="shared" si="6"/>
        <v>77843</v>
      </c>
      <c r="G171" t="s">
        <v>9</v>
      </c>
    </row>
    <row r="172" spans="1:7" ht="15" customHeight="1">
      <c r="A172" s="1" t="str">
        <f>"0481"</f>
        <v>0481</v>
      </c>
      <c r="B172" s="1" t="str">
        <f>"HEAT"</f>
        <v>HEAT</v>
      </c>
      <c r="C172" s="1" t="str">
        <f>"HEATON HALL"</f>
        <v>HEATON HALL</v>
      </c>
      <c r="D172" s="1" t="str">
        <f>"444 Ross St."</f>
        <v>444 Ross St.</v>
      </c>
      <c r="E172" s="1" t="str">
        <f t="shared" si="5"/>
        <v>College Station</v>
      </c>
      <c r="F172" s="1" t="str">
        <f t="shared" si="6"/>
        <v>77843</v>
      </c>
      <c r="G172" t="s">
        <v>9</v>
      </c>
    </row>
    <row r="173" spans="1:7" ht="15" customHeight="1">
      <c r="A173" s="1" t="str">
        <f>"0482"</f>
        <v>0482</v>
      </c>
      <c r="B173" s="1" t="str">
        <f>"FERM"</f>
        <v>FERM</v>
      </c>
      <c r="C173" s="1" t="str">
        <f>"FERMIER HALL"</f>
        <v>FERMIER HALL</v>
      </c>
      <c r="D173" s="1" t="str">
        <f>"466 Ross St."</f>
        <v>466 Ross St.</v>
      </c>
      <c r="E173" s="1" t="str">
        <f t="shared" si="5"/>
        <v>College Station</v>
      </c>
      <c r="F173" s="1" t="str">
        <f t="shared" si="6"/>
        <v>77843</v>
      </c>
      <c r="G173" t="s">
        <v>9</v>
      </c>
    </row>
    <row r="174" spans="1:7" ht="15" customHeight="1">
      <c r="A174" s="1" t="str">
        <f>"0483"</f>
        <v>0483</v>
      </c>
      <c r="B174" s="1" t="str">
        <f>"THOM"</f>
        <v>THOM</v>
      </c>
      <c r="C174" s="1" t="str">
        <f>"THOMPSON HALL"</f>
        <v>THOMPSON HALL</v>
      </c>
      <c r="D174" s="1" t="str">
        <f>"510 Ross St."</f>
        <v>510 Ross St.</v>
      </c>
      <c r="E174" s="1" t="str">
        <f t="shared" si="5"/>
        <v>College Station</v>
      </c>
      <c r="F174" s="1" t="str">
        <f t="shared" si="6"/>
        <v>77843</v>
      </c>
      <c r="G174" t="s">
        <v>9</v>
      </c>
    </row>
    <row r="175" spans="1:7" ht="15" customHeight="1">
      <c r="A175" s="1" t="str">
        <f>"0484"</f>
        <v>0484</v>
      </c>
      <c r="B175" s="1" t="str">
        <f>"CHEM"</f>
        <v>CHEM</v>
      </c>
      <c r="C175" s="1" t="str">
        <f>"CHEMISTRY BUILDING"</f>
        <v>CHEMISTRY BUILDING</v>
      </c>
      <c r="D175" s="1" t="str">
        <f>"580 Ross St."</f>
        <v>580 Ross St.</v>
      </c>
      <c r="E175" s="1" t="str">
        <f t="shared" si="5"/>
        <v>College Station</v>
      </c>
      <c r="F175" s="1" t="str">
        <f t="shared" si="6"/>
        <v>77843</v>
      </c>
      <c r="G175" t="s">
        <v>9</v>
      </c>
    </row>
    <row r="176" spans="1:7" ht="15" customHeight="1">
      <c r="A176" s="1" t="str">
        <f>"0490"</f>
        <v>0490</v>
      </c>
      <c r="B176" s="1" t="str">
        <f>"HALB"</f>
        <v>HALB</v>
      </c>
      <c r="C176" s="1" t="str">
        <f>"HALBOUTY GEOSCIENCES BUILDING"</f>
        <v>HALBOUTY GEOSCIENCES BUILDING</v>
      </c>
      <c r="D176" s="1" t="str">
        <f>"611 Ross St."</f>
        <v>611 Ross St.</v>
      </c>
      <c r="E176" s="1" t="str">
        <f t="shared" si="5"/>
        <v>College Station</v>
      </c>
      <c r="F176" s="1" t="str">
        <f t="shared" si="6"/>
        <v>77843</v>
      </c>
      <c r="G176" t="s">
        <v>9</v>
      </c>
    </row>
    <row r="177" spans="1:7" ht="15" customHeight="1">
      <c r="A177" s="1" t="str">
        <f>"0492"</f>
        <v>0492</v>
      </c>
      <c r="B177" s="1" t="str">
        <f>"C E"</f>
        <v>C E</v>
      </c>
      <c r="C177" s="1" t="str">
        <f>"CIVIL ENGINEERING BUILDING"</f>
        <v>CIVIL ENGINEERING BUILDING</v>
      </c>
      <c r="D177" s="1" t="str">
        <f>"727 Ross St."</f>
        <v>727 Ross St.</v>
      </c>
      <c r="E177" s="1" t="str">
        <f t="shared" si="5"/>
        <v>College Station</v>
      </c>
      <c r="F177" s="1" t="str">
        <f t="shared" si="6"/>
        <v>77843</v>
      </c>
      <c r="G177" t="s">
        <v>9</v>
      </c>
    </row>
    <row r="178" spans="1:7" ht="15" customHeight="1">
      <c r="A178" s="1" t="str">
        <f>"0493"</f>
        <v>0493</v>
      </c>
      <c r="B178" s="1" t="str">
        <f>"BELL"</f>
        <v>BELL</v>
      </c>
      <c r="C178" s="1" t="str">
        <f>"BELL BUILDING"</f>
        <v>BELL BUILDING</v>
      </c>
      <c r="D178" s="1" t="str">
        <f>"202 University Dr."</f>
        <v>202 University Dr.</v>
      </c>
      <c r="E178" s="1" t="str">
        <f t="shared" si="5"/>
        <v>College Station</v>
      </c>
      <c r="F178" s="1" t="str">
        <f t="shared" si="6"/>
        <v>77843</v>
      </c>
      <c r="G178" t="s">
        <v>9</v>
      </c>
    </row>
    <row r="179" spans="1:7" ht="15" customHeight="1">
      <c r="A179" s="1" t="str">
        <f>"0495"</f>
        <v>0495</v>
      </c>
      <c r="B179" s="1" t="str">
        <f>"SBSA"</f>
        <v>SBSA</v>
      </c>
      <c r="C179" s="1" t="str">
        <f>"SBISA DINING HALL"</f>
        <v>SBISA DINING HALL</v>
      </c>
      <c r="D179" s="1" t="str">
        <f>"233 Houston St."</f>
        <v>233 Houston St.</v>
      </c>
      <c r="E179" s="1" t="str">
        <f t="shared" si="5"/>
        <v>College Station</v>
      </c>
      <c r="F179" s="1" t="str">
        <f t="shared" si="6"/>
        <v>77843</v>
      </c>
      <c r="G179" t="s">
        <v>9</v>
      </c>
    </row>
    <row r="180" spans="1:7" ht="15" customHeight="1">
      <c r="A180" s="1" t="str">
        <f>"0496"</f>
        <v>0496</v>
      </c>
      <c r="B180" s="1">
        <f>""</f>
      </c>
      <c r="C180" s="1" t="str">
        <f>"LAUNDRY"</f>
        <v>LAUNDRY</v>
      </c>
      <c r="D180" s="1" t="str">
        <f>"165 Asbury St."</f>
        <v>165 Asbury St.</v>
      </c>
      <c r="E180" s="1" t="str">
        <f t="shared" si="5"/>
        <v>College Station</v>
      </c>
      <c r="F180" s="1" t="str">
        <f t="shared" si="6"/>
        <v>77843</v>
      </c>
      <c r="G180" t="s">
        <v>9</v>
      </c>
    </row>
    <row r="181" spans="1:7" ht="15" customHeight="1">
      <c r="A181" s="1" t="str">
        <f>"0498"</f>
        <v>0498</v>
      </c>
      <c r="B181" s="1" t="str">
        <f>"CUP"</f>
        <v>CUP</v>
      </c>
      <c r="C181" s="1" t="str">
        <f>"CENTRAL UTILITY PLANT"</f>
        <v>CENTRAL UTILITY PLANT</v>
      </c>
      <c r="D181" s="1" t="str">
        <f>"222 Ireland St."</f>
        <v>222 Ireland St.</v>
      </c>
      <c r="E181" s="1" t="str">
        <f t="shared" si="5"/>
        <v>College Station</v>
      </c>
      <c r="F181" s="1" t="str">
        <f t="shared" si="6"/>
        <v>77843</v>
      </c>
      <c r="G181" t="s">
        <v>9</v>
      </c>
    </row>
    <row r="182" spans="1:7" ht="15" customHeight="1">
      <c r="A182" s="1" t="str">
        <f>"0499"</f>
        <v>0499</v>
      </c>
      <c r="B182" s="1" t="str">
        <f>"GRPH"</f>
        <v>GRPH</v>
      </c>
      <c r="C182" s="1" t="str">
        <f>"GRAPHIC SERVICES"</f>
        <v>GRAPHIC SERVICES</v>
      </c>
      <c r="D182" s="1" t="str">
        <f>"233 Ireland St."</f>
        <v>233 Ireland St.</v>
      </c>
      <c r="E182" s="1" t="str">
        <f t="shared" si="5"/>
        <v>College Station</v>
      </c>
      <c r="F182" s="1" t="str">
        <f t="shared" si="6"/>
        <v>77843</v>
      </c>
      <c r="G182" t="s">
        <v>9</v>
      </c>
    </row>
    <row r="183" spans="1:7" ht="15" customHeight="1">
      <c r="A183" s="1" t="str">
        <f>"0501"</f>
        <v>0501</v>
      </c>
      <c r="B183" s="1" t="str">
        <f>"CONC"</f>
        <v>CONC</v>
      </c>
      <c r="C183" s="1" t="str">
        <f>"CONCRETE MATERIALS LABORATORY"</f>
        <v>CONCRETE MATERIALS LABORATORY</v>
      </c>
      <c r="D183" s="1" t="str">
        <f>"785 Ross St."</f>
        <v>785 Ross St.</v>
      </c>
      <c r="E183" s="1" t="str">
        <f t="shared" si="5"/>
        <v>College Station</v>
      </c>
      <c r="F183" s="1" t="str">
        <f t="shared" si="6"/>
        <v>77843</v>
      </c>
      <c r="G183" t="s">
        <v>9</v>
      </c>
    </row>
    <row r="184" spans="1:7" ht="15" customHeight="1">
      <c r="A184" s="1" t="str">
        <f>"0502"</f>
        <v>0502</v>
      </c>
      <c r="B184" s="1" t="str">
        <f>"HYLB"</f>
        <v>HYLB</v>
      </c>
      <c r="C184" s="1" t="str">
        <f>"HYDROMECHANICS LABORATORY"</f>
        <v>HYDROMECHANICS LABORATORY</v>
      </c>
      <c r="D184" s="1" t="str">
        <f>"177 Spence St."</f>
        <v>177 Spence St.</v>
      </c>
      <c r="E184" s="1" t="str">
        <f t="shared" si="5"/>
        <v>College Station</v>
      </c>
      <c r="F184" s="1" t="str">
        <f t="shared" si="6"/>
        <v>77843</v>
      </c>
      <c r="G184" t="s">
        <v>9</v>
      </c>
    </row>
    <row r="185" spans="1:7" ht="15" customHeight="1">
      <c r="A185" s="1" t="str">
        <f>"0506"</f>
        <v>0506</v>
      </c>
      <c r="B185" s="1" t="str">
        <f>"NGLE"</f>
        <v>NGLE</v>
      </c>
      <c r="C185" s="1" t="str">
        <f>"NAGLE HALL"</f>
        <v>NAGLE HALL</v>
      </c>
      <c r="D185" s="1" t="str">
        <f>"454 Throckmorton St."</f>
        <v>454 Throckmorton St.</v>
      </c>
      <c r="E185" s="1" t="str">
        <f t="shared" si="5"/>
        <v>College Station</v>
      </c>
      <c r="F185" s="1" t="str">
        <f t="shared" si="6"/>
        <v>77843</v>
      </c>
      <c r="G185" t="s">
        <v>9</v>
      </c>
    </row>
    <row r="186" spans="1:7" ht="15" customHeight="1">
      <c r="A186" s="1" t="str">
        <f>"0507"</f>
        <v>0507</v>
      </c>
      <c r="B186" s="1" t="str">
        <f>"VMS"</f>
        <v>VMS</v>
      </c>
      <c r="C186" s="1" t="str">
        <f>"VETERINARY MEDICAL SCIENCES BUILDING"</f>
        <v>VETERINARY MEDICAL SCIENCES BUILDING</v>
      </c>
      <c r="D186" s="1" t="str">
        <f>"400 Raymond Stotzer Pw."</f>
        <v>400 Raymond Stotzer Pw.</v>
      </c>
      <c r="E186" s="1" t="str">
        <f t="shared" si="5"/>
        <v>College Station</v>
      </c>
      <c r="F186" s="1" t="str">
        <f t="shared" si="6"/>
        <v>77843</v>
      </c>
      <c r="G186" t="s">
        <v>9</v>
      </c>
    </row>
    <row r="187" spans="1:7" ht="15" customHeight="1">
      <c r="A187" s="1" t="str">
        <f>"0508"</f>
        <v>0508</v>
      </c>
      <c r="B187" s="1" t="str">
        <f>"VTH"</f>
        <v>VTH</v>
      </c>
      <c r="C187" s="1" t="str">
        <f>"VETERINARY TEACHING HOSPITAL"</f>
        <v>VETERINARY TEACHING HOSPITAL</v>
      </c>
      <c r="D187" s="1" t="str">
        <f>"404 Raymond Stotzer Pw."</f>
        <v>404 Raymond Stotzer Pw.</v>
      </c>
      <c r="E187" s="1" t="str">
        <f t="shared" si="5"/>
        <v>College Station</v>
      </c>
      <c r="F187" s="1" t="str">
        <f t="shared" si="6"/>
        <v>77843</v>
      </c>
      <c r="G187" t="s">
        <v>9</v>
      </c>
    </row>
    <row r="188" spans="1:7" ht="15" customHeight="1">
      <c r="A188" s="1" t="str">
        <f>"0510"</f>
        <v>0510</v>
      </c>
      <c r="B188" s="1">
        <f>""</f>
      </c>
      <c r="C188" s="1" t="str">
        <f>"ADRIANCE LAB"</f>
        <v>ADRIANCE LAB</v>
      </c>
      <c r="D188" s="1" t="str">
        <f>"211 Adriance Lab Rd."</f>
        <v>211 Adriance Lab Rd.</v>
      </c>
      <c r="E188" s="1" t="str">
        <f t="shared" si="5"/>
        <v>College Station</v>
      </c>
      <c r="F188" s="1" t="str">
        <f t="shared" si="6"/>
        <v>77843</v>
      </c>
      <c r="G188" t="s">
        <v>9</v>
      </c>
    </row>
    <row r="189" spans="1:7" ht="15" customHeight="1">
      <c r="A189" s="1" t="str">
        <f>"0511"</f>
        <v>0511</v>
      </c>
      <c r="B189" s="1" t="str">
        <f>"HLB"</f>
        <v>HLB</v>
      </c>
      <c r="C189" s="1" t="str">
        <f>"HEEP LABORATORY BUILDING"</f>
        <v>HEEP LABORATORY BUILDING</v>
      </c>
      <c r="D189" s="1" t="str">
        <f>"645 Lamar St."</f>
        <v>645 Lamar St.</v>
      </c>
      <c r="E189" s="1" t="str">
        <f t="shared" si="5"/>
        <v>College Station</v>
      </c>
      <c r="F189" s="1" t="str">
        <f t="shared" si="6"/>
        <v>77843</v>
      </c>
      <c r="G189" t="s">
        <v>9</v>
      </c>
    </row>
    <row r="190" spans="1:7" ht="15" customHeight="1">
      <c r="A190" s="1" t="str">
        <f>"0512"</f>
        <v>0512</v>
      </c>
      <c r="B190" s="1" t="str">
        <f>"CHPL"</f>
        <v>CHPL</v>
      </c>
      <c r="C190" s="1" t="str">
        <f>"ALL FAITHS CHAPEL"</f>
        <v>ALL FAITHS CHAPEL</v>
      </c>
      <c r="D190" s="1" t="str">
        <f>"300 Houston St."</f>
        <v>300 Houston St.</v>
      </c>
      <c r="E190" s="1" t="str">
        <f t="shared" si="5"/>
        <v>College Station</v>
      </c>
      <c r="F190" s="1" t="str">
        <f t="shared" si="6"/>
        <v>77843</v>
      </c>
      <c r="G190" t="s">
        <v>9</v>
      </c>
    </row>
    <row r="191" spans="1:7" ht="15" customHeight="1">
      <c r="A191" s="1" t="str">
        <f>"0513"</f>
        <v>0513</v>
      </c>
      <c r="B191" s="1" t="str">
        <f>"DRTY"</f>
        <v>DRTY</v>
      </c>
      <c r="C191" s="1" t="str">
        <f>"DOHERTY BUILDING"</f>
        <v>DOHERTY BUILDING</v>
      </c>
      <c r="D191" s="1" t="str">
        <f>"242 Spence St."</f>
        <v>242 Spence St.</v>
      </c>
      <c r="E191" s="1" t="str">
        <f t="shared" si="5"/>
        <v>College Station</v>
      </c>
      <c r="F191" s="1" t="str">
        <f t="shared" si="6"/>
        <v>77843</v>
      </c>
      <c r="G191" t="s">
        <v>9</v>
      </c>
    </row>
    <row r="192" spans="1:7" ht="15" customHeight="1">
      <c r="A192" s="1" t="str">
        <f>"0514"</f>
        <v>0514</v>
      </c>
      <c r="B192" s="1" t="str">
        <f>"MASS"</f>
        <v>MASS</v>
      </c>
      <c r="C192" s="1" t="str">
        <f>"Munnerlyn Astronomy &amp; Space Sciences Engineering"</f>
        <v>Munnerlyn Astronomy &amp; Space Sciences Engineering</v>
      </c>
      <c r="D192" s="1" t="str">
        <f>"101 Asbury St."</f>
        <v>101 Asbury St.</v>
      </c>
      <c r="E192" s="1" t="str">
        <f t="shared" si="5"/>
        <v>College Station</v>
      </c>
      <c r="F192" s="1" t="str">
        <f t="shared" si="6"/>
        <v>77843</v>
      </c>
      <c r="G192" t="s">
        <v>9</v>
      </c>
    </row>
    <row r="193" spans="1:7" ht="15" customHeight="1">
      <c r="A193" s="1" t="str">
        <f>"0516"</f>
        <v>0516</v>
      </c>
      <c r="B193" s="1" t="str">
        <f>"CSC"</f>
        <v>CSC</v>
      </c>
      <c r="C193" s="1" t="str">
        <f>"COMPUTING SERVICES CENTER"</f>
        <v>COMPUTING SERVICES CENTER</v>
      </c>
      <c r="D193" s="1" t="str">
        <f>"731 Lamar St."</f>
        <v>731 Lamar St.</v>
      </c>
      <c r="E193" s="1" t="str">
        <f t="shared" si="5"/>
        <v>College Station</v>
      </c>
      <c r="F193" s="1" t="str">
        <f t="shared" si="6"/>
        <v>77843</v>
      </c>
      <c r="G193" t="s">
        <v>9</v>
      </c>
    </row>
    <row r="194" spans="1:7" ht="15" customHeight="1">
      <c r="A194" s="1" t="str">
        <f>"0517"</f>
        <v>0517</v>
      </c>
      <c r="B194" s="1" t="str">
        <f>"CSA"</f>
        <v>CSA</v>
      </c>
      <c r="C194" s="1" t="str">
        <f>"DPC ANNEX"</f>
        <v>DPC ANNEX</v>
      </c>
      <c r="D194" s="1" t="str">
        <f>"733 Lamar St."</f>
        <v>733 Lamar St.</v>
      </c>
      <c r="E194" s="1" t="str">
        <f aca="true" t="shared" si="7" ref="E194:E257">"College Station"</f>
        <v>College Station</v>
      </c>
      <c r="F194" s="1" t="str">
        <f aca="true" t="shared" si="8" ref="F194:F257">"77843"</f>
        <v>77843</v>
      </c>
      <c r="G194" t="s">
        <v>9</v>
      </c>
    </row>
    <row r="195" spans="1:7" ht="15" customHeight="1">
      <c r="A195" s="1" t="str">
        <f>"0518"</f>
        <v>0518</v>
      </c>
      <c r="B195" s="1" t="str">
        <f>"ZACH"</f>
        <v>ZACH</v>
      </c>
      <c r="C195" s="1" t="str">
        <f>"ZACHRY ENGINEERING CENTER"</f>
        <v>ZACHRY ENGINEERING CENTER</v>
      </c>
      <c r="D195" s="1" t="str">
        <f>"125 Spence St."</f>
        <v>125 Spence St.</v>
      </c>
      <c r="E195" s="1" t="str">
        <f t="shared" si="7"/>
        <v>College Station</v>
      </c>
      <c r="F195" s="1" t="str">
        <f t="shared" si="8"/>
        <v>77843</v>
      </c>
      <c r="G195" t="s">
        <v>9</v>
      </c>
    </row>
    <row r="196" spans="1:7" ht="15" customHeight="1">
      <c r="A196" s="1" t="str">
        <f>"0519"</f>
        <v>0519</v>
      </c>
      <c r="B196" s="1" t="str">
        <f>"KAMU"</f>
        <v>KAMU</v>
      </c>
      <c r="C196" s="1" t="str">
        <f>"MOORE COMMUNICATIONS CENTER"</f>
        <v>MOORE COMMUNICATIONS CENTER</v>
      </c>
      <c r="D196" s="1" t="str">
        <f>"900 Houston St."</f>
        <v>900 Houston St.</v>
      </c>
      <c r="E196" s="1" t="str">
        <f t="shared" si="7"/>
        <v>College Station</v>
      </c>
      <c r="F196" s="1" t="str">
        <f t="shared" si="8"/>
        <v>77843</v>
      </c>
      <c r="G196" t="s">
        <v>9</v>
      </c>
    </row>
    <row r="197" spans="1:7" ht="15" customHeight="1">
      <c r="A197" s="1" t="str">
        <f>"0520"</f>
        <v>0520</v>
      </c>
      <c r="B197" s="1" t="str">
        <f>"BEUT"</f>
        <v>BEUT</v>
      </c>
      <c r="C197" s="1" t="str">
        <f>"BEUTEL HEALTH CENTER"</f>
        <v>BEUTEL HEALTH CENTER</v>
      </c>
      <c r="D197" s="1" t="str">
        <f>"311 Houston St."</f>
        <v>311 Houston St.</v>
      </c>
      <c r="E197" s="1" t="str">
        <f t="shared" si="7"/>
        <v>College Station</v>
      </c>
      <c r="F197" s="1" t="str">
        <f t="shared" si="8"/>
        <v>77843</v>
      </c>
      <c r="G197" t="s">
        <v>9</v>
      </c>
    </row>
    <row r="198" spans="1:7" ht="15" customHeight="1">
      <c r="A198" s="1" t="str">
        <f>"0521"</f>
        <v>0521</v>
      </c>
      <c r="B198" s="1" t="str">
        <f>"HELD"</f>
        <v>HELD</v>
      </c>
      <c r="C198" s="1" t="str">
        <f>"HELDENFELS HALL"</f>
        <v>HELDENFELS HALL</v>
      </c>
      <c r="D198" s="1" t="str">
        <f>"466 Nagle St."</f>
        <v>466 Nagle St.</v>
      </c>
      <c r="E198" s="1" t="str">
        <f t="shared" si="7"/>
        <v>College Station</v>
      </c>
      <c r="F198" s="1" t="str">
        <f t="shared" si="8"/>
        <v>77843</v>
      </c>
      <c r="G198" t="s">
        <v>9</v>
      </c>
    </row>
    <row r="199" spans="1:7" ht="15" customHeight="1">
      <c r="A199" s="1" t="str">
        <f>"0522"</f>
        <v>0522</v>
      </c>
      <c r="B199" s="1">
        <f>""</f>
      </c>
      <c r="C199" s="1" t="str">
        <f>"TVMC-LAB ANIMAL SHELTER"</f>
        <v>TVMC-LAB ANIMAL SHELTER</v>
      </c>
      <c r="D199" s="1" t="str">
        <f>"525 Turk Rd."</f>
        <v>525 Turk Rd.</v>
      </c>
      <c r="E199" s="1" t="str">
        <f t="shared" si="7"/>
        <v>College Station</v>
      </c>
      <c r="F199" s="1" t="str">
        <f t="shared" si="8"/>
        <v>77843</v>
      </c>
      <c r="G199" t="s">
        <v>9</v>
      </c>
    </row>
    <row r="200" spans="1:7" ht="15" customHeight="1">
      <c r="A200" s="1" t="str">
        <f>"0524"</f>
        <v>0524</v>
      </c>
      <c r="B200" s="1" t="str">
        <f>"BLOC"</f>
        <v>BLOC</v>
      </c>
      <c r="C200" s="1" t="str">
        <f>"BLOCKER BUILDING"</f>
        <v>BLOCKER BUILDING</v>
      </c>
      <c r="D200" s="1" t="str">
        <f>"155 Ireland St."</f>
        <v>155 Ireland St.</v>
      </c>
      <c r="E200" s="1" t="str">
        <f t="shared" si="7"/>
        <v>College Station</v>
      </c>
      <c r="F200" s="1" t="str">
        <f t="shared" si="8"/>
        <v>77843</v>
      </c>
      <c r="G200" t="s">
        <v>9</v>
      </c>
    </row>
    <row r="201" spans="1:7" ht="15" customHeight="1">
      <c r="A201" s="1" t="str">
        <f>"0525"</f>
        <v>0525</v>
      </c>
      <c r="B201" s="1">
        <f>""</f>
      </c>
      <c r="C201" s="1" t="str">
        <f>"VOLATILE STORAGE BUILDING"</f>
        <v>VOLATILE STORAGE BUILDING</v>
      </c>
      <c r="D201" s="1">
        <f>""</f>
      </c>
      <c r="E201" s="1" t="str">
        <f t="shared" si="7"/>
        <v>College Station</v>
      </c>
      <c r="F201" s="1" t="str">
        <f t="shared" si="8"/>
        <v>77843</v>
      </c>
      <c r="G201" t="s">
        <v>8</v>
      </c>
    </row>
    <row r="202" spans="1:7" ht="15" customHeight="1">
      <c r="A202" s="1" t="str">
        <f>"0532"</f>
        <v>0532</v>
      </c>
      <c r="B202" s="1">
        <f>""</f>
      </c>
      <c r="C202" s="1" t="str">
        <f>"HENSEL APTS BLDG V-1"</f>
        <v>HENSEL APTS BLDG V-1</v>
      </c>
      <c r="D202" s="1">
        <f>""</f>
      </c>
      <c r="E202" s="1" t="str">
        <f t="shared" si="7"/>
        <v>College Station</v>
      </c>
      <c r="F202" s="1" t="str">
        <f t="shared" si="8"/>
        <v>77843</v>
      </c>
      <c r="G202" t="s">
        <v>8</v>
      </c>
    </row>
    <row r="203" spans="1:7" ht="15" customHeight="1">
      <c r="A203" s="1" t="str">
        <f>"0533"</f>
        <v>0533</v>
      </c>
      <c r="B203" s="1">
        <f>""</f>
      </c>
      <c r="C203" s="1" t="str">
        <f>"HENSEL APTS BLDG V-2"</f>
        <v>HENSEL APTS BLDG V-2</v>
      </c>
      <c r="D203" s="1">
        <f>""</f>
      </c>
      <c r="E203" s="1" t="str">
        <f t="shared" si="7"/>
        <v>College Station</v>
      </c>
      <c r="F203" s="1" t="str">
        <f t="shared" si="8"/>
        <v>77843</v>
      </c>
      <c r="G203" t="s">
        <v>8</v>
      </c>
    </row>
    <row r="204" spans="1:7" ht="15" customHeight="1">
      <c r="A204" s="1" t="str">
        <f>"0534"</f>
        <v>0534</v>
      </c>
      <c r="B204" s="1">
        <f>""</f>
      </c>
      <c r="C204" s="1" t="str">
        <f>"HENSEL APTS BLDG V-3"</f>
        <v>HENSEL APTS BLDG V-3</v>
      </c>
      <c r="D204" s="1">
        <f>""</f>
      </c>
      <c r="E204" s="1" t="str">
        <f t="shared" si="7"/>
        <v>College Station</v>
      </c>
      <c r="F204" s="1" t="str">
        <f t="shared" si="8"/>
        <v>77843</v>
      </c>
      <c r="G204" t="s">
        <v>8</v>
      </c>
    </row>
    <row r="205" spans="1:7" ht="15" customHeight="1">
      <c r="A205" s="1" t="str">
        <f>"0535"</f>
        <v>0535</v>
      </c>
      <c r="B205" s="1">
        <f>""</f>
      </c>
      <c r="C205" s="1" t="str">
        <f>"HENSEL APTS BLDG W-1"</f>
        <v>HENSEL APTS BLDG W-1</v>
      </c>
      <c r="D205" s="1">
        <f>""</f>
      </c>
      <c r="E205" s="1" t="str">
        <f t="shared" si="7"/>
        <v>College Station</v>
      </c>
      <c r="F205" s="1" t="str">
        <f t="shared" si="8"/>
        <v>77843</v>
      </c>
      <c r="G205" t="s">
        <v>8</v>
      </c>
    </row>
    <row r="206" spans="1:7" ht="15" customHeight="1">
      <c r="A206" s="1" t="str">
        <f>"0536"</f>
        <v>0536</v>
      </c>
      <c r="B206" s="1">
        <f>""</f>
      </c>
      <c r="C206" s="1" t="str">
        <f>"HENSEL APTS BLDG W-2"</f>
        <v>HENSEL APTS BLDG W-2</v>
      </c>
      <c r="D206" s="1">
        <f>""</f>
      </c>
      <c r="E206" s="1" t="str">
        <f t="shared" si="7"/>
        <v>College Station</v>
      </c>
      <c r="F206" s="1" t="str">
        <f t="shared" si="8"/>
        <v>77843</v>
      </c>
      <c r="G206" t="s">
        <v>8</v>
      </c>
    </row>
    <row r="207" spans="1:7" ht="15" customHeight="1">
      <c r="A207" s="1" t="str">
        <f>"0537"</f>
        <v>0537</v>
      </c>
      <c r="B207" s="1">
        <f>""</f>
      </c>
      <c r="C207" s="1" t="str">
        <f>"HENSEL APTS BLDG W-3"</f>
        <v>HENSEL APTS BLDG W-3</v>
      </c>
      <c r="D207" s="1">
        <f>""</f>
      </c>
      <c r="E207" s="1" t="str">
        <f t="shared" si="7"/>
        <v>College Station</v>
      </c>
      <c r="F207" s="1" t="str">
        <f t="shared" si="8"/>
        <v>77843</v>
      </c>
      <c r="G207" t="s">
        <v>8</v>
      </c>
    </row>
    <row r="208" spans="1:7" ht="15" customHeight="1">
      <c r="A208" s="1" t="str">
        <f>"0538"</f>
        <v>0538</v>
      </c>
      <c r="B208" s="1">
        <f>""</f>
      </c>
      <c r="C208" s="1" t="str">
        <f>"HENSEL APTS BLDG X-1"</f>
        <v>HENSEL APTS BLDG X-1</v>
      </c>
      <c r="D208" s="1">
        <f>""</f>
      </c>
      <c r="E208" s="1" t="str">
        <f t="shared" si="7"/>
        <v>College Station</v>
      </c>
      <c r="F208" s="1" t="str">
        <f t="shared" si="8"/>
        <v>77843</v>
      </c>
      <c r="G208" t="s">
        <v>8</v>
      </c>
    </row>
    <row r="209" spans="1:7" ht="15" customHeight="1">
      <c r="A209" s="1" t="str">
        <f>"0539"</f>
        <v>0539</v>
      </c>
      <c r="B209" s="1">
        <f>""</f>
      </c>
      <c r="C209" s="1" t="str">
        <f>"HENSEL APTS BLDG X-2"</f>
        <v>HENSEL APTS BLDG X-2</v>
      </c>
      <c r="D209" s="1">
        <f>""</f>
      </c>
      <c r="E209" s="1" t="str">
        <f t="shared" si="7"/>
        <v>College Station</v>
      </c>
      <c r="F209" s="1" t="str">
        <f t="shared" si="8"/>
        <v>77843</v>
      </c>
      <c r="G209" t="s">
        <v>8</v>
      </c>
    </row>
    <row r="210" spans="1:7" ht="15" customHeight="1">
      <c r="A210" s="1" t="str">
        <f>"0540"</f>
        <v>0540</v>
      </c>
      <c r="B210" s="1">
        <f>""</f>
      </c>
      <c r="C210" s="1" t="str">
        <f>"HENSEL APTS BLDG X-3"</f>
        <v>HENSEL APTS BLDG X-3</v>
      </c>
      <c r="D210" s="1">
        <f>""</f>
      </c>
      <c r="E210" s="1" t="str">
        <f t="shared" si="7"/>
        <v>College Station</v>
      </c>
      <c r="F210" s="1" t="str">
        <f t="shared" si="8"/>
        <v>77843</v>
      </c>
      <c r="G210" t="s">
        <v>8</v>
      </c>
    </row>
    <row r="211" spans="1:7" ht="15" customHeight="1">
      <c r="A211" s="1" t="str">
        <f>"0541"</f>
        <v>0541</v>
      </c>
      <c r="B211" s="1">
        <f>""</f>
      </c>
      <c r="C211" s="1" t="str">
        <f>"HENSEL APTS BLDG X-4"</f>
        <v>HENSEL APTS BLDG X-4</v>
      </c>
      <c r="D211" s="1">
        <f>""</f>
      </c>
      <c r="E211" s="1" t="str">
        <f t="shared" si="7"/>
        <v>College Station</v>
      </c>
      <c r="F211" s="1" t="str">
        <f t="shared" si="8"/>
        <v>77843</v>
      </c>
      <c r="G211" t="s">
        <v>8</v>
      </c>
    </row>
    <row r="212" spans="1:7" ht="15" customHeight="1">
      <c r="A212" s="1" t="str">
        <f>"0542"</f>
        <v>0542</v>
      </c>
      <c r="B212" s="1">
        <f>""</f>
      </c>
      <c r="C212" s="1" t="str">
        <f>"HENSEL APTS BLDG Y-1"</f>
        <v>HENSEL APTS BLDG Y-1</v>
      </c>
      <c r="D212" s="1">
        <f>""</f>
      </c>
      <c r="E212" s="1" t="str">
        <f t="shared" si="7"/>
        <v>College Station</v>
      </c>
      <c r="F212" s="1" t="str">
        <f t="shared" si="8"/>
        <v>77843</v>
      </c>
      <c r="G212" t="s">
        <v>8</v>
      </c>
    </row>
    <row r="213" spans="1:7" ht="15" customHeight="1">
      <c r="A213" s="1" t="str">
        <f>"0543"</f>
        <v>0543</v>
      </c>
      <c r="B213" s="1">
        <f>""</f>
      </c>
      <c r="C213" s="1" t="str">
        <f>"HENSEL APTS BLDG Y-2"</f>
        <v>HENSEL APTS BLDG Y-2</v>
      </c>
      <c r="D213" s="1">
        <f>""</f>
      </c>
      <c r="E213" s="1" t="str">
        <f t="shared" si="7"/>
        <v>College Station</v>
      </c>
      <c r="F213" s="1" t="str">
        <f t="shared" si="8"/>
        <v>77843</v>
      </c>
      <c r="G213" t="s">
        <v>8</v>
      </c>
    </row>
    <row r="214" spans="1:7" ht="15" customHeight="1">
      <c r="A214" s="1" t="str">
        <f>"0544"</f>
        <v>0544</v>
      </c>
      <c r="B214" s="1">
        <f>""</f>
      </c>
      <c r="C214" s="1" t="str">
        <f>"HENSEL APTS BLDG Y-3"</f>
        <v>HENSEL APTS BLDG Y-3</v>
      </c>
      <c r="D214" s="1">
        <f>""</f>
      </c>
      <c r="E214" s="1" t="str">
        <f t="shared" si="7"/>
        <v>College Station</v>
      </c>
      <c r="F214" s="1" t="str">
        <f t="shared" si="8"/>
        <v>77843</v>
      </c>
      <c r="G214" t="s">
        <v>8</v>
      </c>
    </row>
    <row r="215" spans="1:7" ht="15" customHeight="1">
      <c r="A215" s="1" t="str">
        <f>"0545"</f>
        <v>0545</v>
      </c>
      <c r="B215" s="1">
        <f>""</f>
      </c>
      <c r="C215" s="1" t="str">
        <f>"HENSEL APTS BLDG Y-4"</f>
        <v>HENSEL APTS BLDG Y-4</v>
      </c>
      <c r="D215" s="1">
        <f>""</f>
      </c>
      <c r="E215" s="1" t="str">
        <f t="shared" si="7"/>
        <v>College Station</v>
      </c>
      <c r="F215" s="1" t="str">
        <f t="shared" si="8"/>
        <v>77843</v>
      </c>
      <c r="G215" t="s">
        <v>8</v>
      </c>
    </row>
    <row r="216" spans="1:7" ht="15" customHeight="1">
      <c r="A216" s="1" t="str">
        <f>"0546"</f>
        <v>0546</v>
      </c>
      <c r="B216" s="1">
        <f>""</f>
      </c>
      <c r="C216" s="1" t="str">
        <f>"HENSEL APTS BLDG Z-1"</f>
        <v>HENSEL APTS BLDG Z-1</v>
      </c>
      <c r="D216" s="1">
        <f>""</f>
      </c>
      <c r="E216" s="1" t="str">
        <f t="shared" si="7"/>
        <v>College Station</v>
      </c>
      <c r="F216" s="1" t="str">
        <f t="shared" si="8"/>
        <v>77843</v>
      </c>
      <c r="G216" t="s">
        <v>8</v>
      </c>
    </row>
    <row r="217" spans="1:7" ht="15" customHeight="1">
      <c r="A217" s="1" t="str">
        <f>"0547"</f>
        <v>0547</v>
      </c>
      <c r="B217" s="1">
        <f>""</f>
      </c>
      <c r="C217" s="1" t="str">
        <f>"BREAK ROOM AT CENTRAL UTILITY PLANT"</f>
        <v>BREAK ROOM AT CENTRAL UTILITY PLANT</v>
      </c>
      <c r="D217" s="1" t="str">
        <f>"193 Asbury St."</f>
        <v>193 Asbury St.</v>
      </c>
      <c r="E217" s="1" t="str">
        <f t="shared" si="7"/>
        <v>College Station</v>
      </c>
      <c r="F217" s="1" t="str">
        <f t="shared" si="8"/>
        <v>77843</v>
      </c>
      <c r="G217" t="s">
        <v>9</v>
      </c>
    </row>
    <row r="218" spans="1:7" ht="15" customHeight="1">
      <c r="A218" s="1" t="str">
        <f>"0548"</f>
        <v>0548</v>
      </c>
      <c r="B218" s="1" t="str">
        <f>"CLEM"</f>
        <v>CLEM</v>
      </c>
      <c r="C218" s="1" t="str">
        <f>"CLEMENTS RESIDENCE HALL"</f>
        <v>CLEMENTS RESIDENCE HALL</v>
      </c>
      <c r="D218" s="1" t="str">
        <f>"211 Jones St."</f>
        <v>211 Jones St.</v>
      </c>
      <c r="E218" s="1" t="str">
        <f t="shared" si="7"/>
        <v>College Station</v>
      </c>
      <c r="F218" s="1" t="str">
        <f t="shared" si="8"/>
        <v>77843</v>
      </c>
      <c r="G218" t="s">
        <v>9</v>
      </c>
    </row>
    <row r="219" spans="1:7" ht="15" customHeight="1">
      <c r="A219" s="1" t="str">
        <f>"0549"</f>
        <v>0549</v>
      </c>
      <c r="B219" s="1" t="str">
        <f>"HAAS"</f>
        <v>HAAS</v>
      </c>
      <c r="C219" s="1" t="str">
        <f>"HAAS RESIDENCE HALL"</f>
        <v>HAAS RESIDENCE HALL</v>
      </c>
      <c r="D219" s="1" t="str">
        <f>"212 Houston St."</f>
        <v>212 Houston St.</v>
      </c>
      <c r="E219" s="1" t="str">
        <f t="shared" si="7"/>
        <v>College Station</v>
      </c>
      <c r="F219" s="1" t="str">
        <f t="shared" si="8"/>
        <v>77843</v>
      </c>
      <c r="G219" t="s">
        <v>9</v>
      </c>
    </row>
    <row r="220" spans="1:7" ht="15" customHeight="1">
      <c r="A220" s="1" t="str">
        <f>"0550"</f>
        <v>0550</v>
      </c>
      <c r="B220" s="1" t="str">
        <f>"MCFA"</f>
        <v>MCFA</v>
      </c>
      <c r="C220" s="1" t="str">
        <f>"MCFADDEN RESIDENCE HALL"</f>
        <v>MCFADDEN RESIDENCE HALL</v>
      </c>
      <c r="D220" s="1" t="str">
        <f>"301 Jones St."</f>
        <v>301 Jones St.</v>
      </c>
      <c r="E220" s="1" t="str">
        <f t="shared" si="7"/>
        <v>College Station</v>
      </c>
      <c r="F220" s="1" t="str">
        <f t="shared" si="8"/>
        <v>77843</v>
      </c>
      <c r="G220" t="s">
        <v>9</v>
      </c>
    </row>
    <row r="221" spans="1:7" ht="15" customHeight="1">
      <c r="A221" s="1" t="str">
        <f>"0630"</f>
        <v>0630</v>
      </c>
      <c r="B221" s="1" t="str">
        <f>"PRVP"</f>
        <v>PRVP</v>
      </c>
      <c r="C221" s="1" t="str">
        <f>"VICE PRESIDENT'S RESIDENCE"</f>
        <v>VICE PRESIDENT'S RESIDENCE</v>
      </c>
      <c r="D221" s="1" t="str">
        <f>"750 Throckmorton St."</f>
        <v>750 Throckmorton St.</v>
      </c>
      <c r="E221" s="1" t="str">
        <f t="shared" si="7"/>
        <v>College Station</v>
      </c>
      <c r="F221" s="1" t="str">
        <f t="shared" si="8"/>
        <v>77843</v>
      </c>
      <c r="G221" t="s">
        <v>9</v>
      </c>
    </row>
    <row r="222" spans="1:7" ht="15" customHeight="1">
      <c r="A222" s="1" t="str">
        <f>"0634"</f>
        <v>0634</v>
      </c>
      <c r="B222" s="1" t="str">
        <f>"PRES"</f>
        <v>PRES</v>
      </c>
      <c r="C222" s="1" t="str">
        <f>"PRESIDENT'S RESIDENCE"</f>
        <v>PRESIDENT'S RESIDENCE</v>
      </c>
      <c r="D222" s="1" t="str">
        <f>"800 Throckmorton St."</f>
        <v>800 Throckmorton St.</v>
      </c>
      <c r="E222" s="1" t="str">
        <f t="shared" si="7"/>
        <v>College Station</v>
      </c>
      <c r="F222" s="1" t="str">
        <f t="shared" si="8"/>
        <v>77843</v>
      </c>
      <c r="G222" t="s">
        <v>9</v>
      </c>
    </row>
    <row r="223" spans="1:7" ht="15" customHeight="1">
      <c r="A223" s="1" t="str">
        <f>"0635"</f>
        <v>0635</v>
      </c>
      <c r="B223" s="1">
        <f>""</f>
      </c>
      <c r="C223" s="1" t="str">
        <f>"GROUNDS MAINTENANCE STORAGE"</f>
        <v>GROUNDS MAINTENANCE STORAGE</v>
      </c>
      <c r="D223" s="1">
        <f>""</f>
      </c>
      <c r="E223" s="1" t="str">
        <f t="shared" si="7"/>
        <v>College Station</v>
      </c>
      <c r="F223" s="1" t="str">
        <f t="shared" si="8"/>
        <v>77843</v>
      </c>
      <c r="G223" t="s">
        <v>8</v>
      </c>
    </row>
    <row r="224" spans="1:7" ht="15" customHeight="1">
      <c r="A224" s="1" t="str">
        <f>"0652"</f>
        <v>0652</v>
      </c>
      <c r="B224" s="1" t="str">
        <f>"NEEL"</f>
        <v>NEEL</v>
      </c>
      <c r="C224" s="1" t="str">
        <f>"NEELEY RESIDENCE HALL"</f>
        <v>NEELEY RESIDENCE HALL</v>
      </c>
      <c r="D224" s="1" t="str">
        <f>"140 Asbury St."</f>
        <v>140 Asbury St.</v>
      </c>
      <c r="E224" s="1" t="str">
        <f t="shared" si="7"/>
        <v>College Station</v>
      </c>
      <c r="F224" s="1" t="str">
        <f t="shared" si="8"/>
        <v>77843</v>
      </c>
      <c r="G224" t="s">
        <v>9</v>
      </c>
    </row>
    <row r="225" spans="1:7" ht="15" customHeight="1">
      <c r="A225" s="1" t="str">
        <f>"0653"</f>
        <v>0653</v>
      </c>
      <c r="B225" s="1" t="str">
        <f>"HOBB"</f>
        <v>HOBB</v>
      </c>
      <c r="C225" s="1" t="str">
        <f>"HOBBY RESIDENCE HALL"</f>
        <v>HOBBY RESIDENCE HALL</v>
      </c>
      <c r="D225" s="1" t="str">
        <f>"160 Asbury St."</f>
        <v>160 Asbury St.</v>
      </c>
      <c r="E225" s="1" t="str">
        <f t="shared" si="7"/>
        <v>College Station</v>
      </c>
      <c r="F225" s="1" t="str">
        <f t="shared" si="8"/>
        <v>77843</v>
      </c>
      <c r="G225" t="s">
        <v>9</v>
      </c>
    </row>
    <row r="226" spans="1:7" ht="15" customHeight="1">
      <c r="A226" s="1" t="str">
        <f>"0654"</f>
        <v>0654</v>
      </c>
      <c r="B226" s="1">
        <f>""</f>
      </c>
      <c r="C226" s="1" t="str">
        <f>"GENERATOR SHED"</f>
        <v>GENERATOR SHED</v>
      </c>
      <c r="D226" s="1">
        <f>""</f>
      </c>
      <c r="E226" s="1" t="str">
        <f t="shared" si="7"/>
        <v>College Station</v>
      </c>
      <c r="F226" s="1" t="str">
        <f t="shared" si="8"/>
        <v>77843</v>
      </c>
      <c r="G226" t="s">
        <v>8</v>
      </c>
    </row>
    <row r="227" spans="1:7" ht="15" customHeight="1">
      <c r="A227" s="1" t="str">
        <f>"0655"</f>
        <v>0655</v>
      </c>
      <c r="B227" s="1">
        <f>""</f>
      </c>
      <c r="C227" s="1" t="str">
        <f>"GOLF COURSE MAINTENANCE SHOP"</f>
        <v>GOLF COURSE MAINTENANCE SHOP</v>
      </c>
      <c r="D227" s="1" t="str">
        <f>"835 Bizzell St."</f>
        <v>835 Bizzell St.</v>
      </c>
      <c r="E227" s="1" t="str">
        <f t="shared" si="7"/>
        <v>College Station</v>
      </c>
      <c r="F227" s="1" t="str">
        <f t="shared" si="8"/>
        <v>77843</v>
      </c>
      <c r="G227" t="s">
        <v>9</v>
      </c>
    </row>
    <row r="228" spans="1:7" ht="15" customHeight="1">
      <c r="A228" s="1" t="str">
        <f>"0672"</f>
        <v>0672</v>
      </c>
      <c r="B228" s="1" t="str">
        <f>"GOLF"</f>
        <v>GOLF</v>
      </c>
      <c r="C228" s="1" t="str">
        <f>"GOLF COURSE CLUBHOUSE"</f>
        <v>GOLF COURSE CLUBHOUSE</v>
      </c>
      <c r="D228" s="1" t="str">
        <f>"577 Bizzell St."</f>
        <v>577 Bizzell St.</v>
      </c>
      <c r="E228" s="1" t="str">
        <f t="shared" si="7"/>
        <v>College Station</v>
      </c>
      <c r="F228" s="1" t="str">
        <f t="shared" si="8"/>
        <v>77843</v>
      </c>
      <c r="G228" t="s">
        <v>9</v>
      </c>
    </row>
    <row r="229" spans="1:7" ht="15" customHeight="1">
      <c r="A229" s="1" t="str">
        <f>"0677"</f>
        <v>0677</v>
      </c>
      <c r="B229" s="1">
        <f>""</f>
      </c>
      <c r="C229" s="1" t="str">
        <f>"GOLF COURSE HALFWAY HOUSE"</f>
        <v>GOLF COURSE HALFWAY HOUSE</v>
      </c>
      <c r="D229" s="1">
        <f>""</f>
      </c>
      <c r="E229" s="1" t="str">
        <f t="shared" si="7"/>
        <v>College Station</v>
      </c>
      <c r="F229" s="1" t="str">
        <f t="shared" si="8"/>
        <v>77843</v>
      </c>
      <c r="G229" t="s">
        <v>8</v>
      </c>
    </row>
    <row r="230" spans="1:7" ht="15" customHeight="1">
      <c r="A230" s="1" t="str">
        <f>"0682"</f>
        <v>0682</v>
      </c>
      <c r="B230" s="1" t="str">
        <f>"WERC"</f>
        <v>WERC</v>
      </c>
      <c r="C230" s="1" t="str">
        <f>"WISENBAKER ENGINEERING RESEARCH CENTER"</f>
        <v>WISENBAKER ENGINEERING RESEARCH CENTER</v>
      </c>
      <c r="D230" s="1" t="str">
        <f>"188 Bizzell St."</f>
        <v>188 Bizzell St.</v>
      </c>
      <c r="E230" s="1" t="str">
        <f t="shared" si="7"/>
        <v>College Station</v>
      </c>
      <c r="F230" s="1" t="str">
        <f t="shared" si="8"/>
        <v>77843</v>
      </c>
      <c r="G230" t="s">
        <v>9</v>
      </c>
    </row>
    <row r="231" spans="1:7" ht="15" customHeight="1">
      <c r="A231" s="1" t="str">
        <f>"0685"</f>
        <v>0685</v>
      </c>
      <c r="B231" s="1">
        <f>""</f>
      </c>
      <c r="C231" s="1" t="str">
        <f>"GROUNDS MAINTENANCE - TRACTOR SHED"</f>
        <v>GROUNDS MAINTENANCE - TRACTOR SHED</v>
      </c>
      <c r="D231" s="1">
        <f>""</f>
      </c>
      <c r="E231" s="1" t="str">
        <f t="shared" si="7"/>
        <v>College Station</v>
      </c>
      <c r="F231" s="1" t="str">
        <f t="shared" si="8"/>
        <v>77843</v>
      </c>
      <c r="G231" t="s">
        <v>8</v>
      </c>
    </row>
    <row r="232" spans="1:7" ht="15" customHeight="1">
      <c r="A232" s="1" t="str">
        <f>"0687"</f>
        <v>0687</v>
      </c>
      <c r="B232" s="1">
        <f>""</f>
      </c>
      <c r="C232" s="1" t="str">
        <f>"ESTI INDUSTRIAL CLASSROOM"</f>
        <v>ESTI INDUSTRIAL CLASSROOM</v>
      </c>
      <c r="D232" s="1" t="str">
        <f>"1595 Nuclear Science Rd."</f>
        <v>1595 Nuclear Science Rd.</v>
      </c>
      <c r="E232" s="1" t="str">
        <f t="shared" si="7"/>
        <v>College Station</v>
      </c>
      <c r="F232" s="1" t="str">
        <f t="shared" si="8"/>
        <v>77843</v>
      </c>
      <c r="G232" t="s">
        <v>9</v>
      </c>
    </row>
    <row r="233" spans="1:7" ht="15" customHeight="1">
      <c r="A233" s="1" t="str">
        <f>"0688"</f>
        <v>0688</v>
      </c>
      <c r="B233" s="1">
        <f>""</f>
      </c>
      <c r="C233" s="1" t="str">
        <f>"ESTI INDUSTRIAL TECHNICIAN OFFICE/SHOP"</f>
        <v>ESTI INDUSTRIAL TECHNICIAN OFFICE/SHOP</v>
      </c>
      <c r="D233" s="1">
        <f>""</f>
      </c>
      <c r="E233" s="1" t="str">
        <f t="shared" si="7"/>
        <v>College Station</v>
      </c>
      <c r="F233" s="1" t="str">
        <f t="shared" si="8"/>
        <v>77843</v>
      </c>
      <c r="G233" t="s">
        <v>8</v>
      </c>
    </row>
    <row r="234" spans="1:7" ht="15" customHeight="1">
      <c r="A234" s="1" t="str">
        <f>"0689"</f>
        <v>0689</v>
      </c>
      <c r="B234" s="1">
        <f>""</f>
      </c>
      <c r="C234" s="1" t="str">
        <f>"ESTI WAREHOUSE BUILDING"</f>
        <v>ESTI WAREHOUSE BUILDING</v>
      </c>
      <c r="D234" s="1">
        <f>""</f>
      </c>
      <c r="E234" s="1" t="str">
        <f t="shared" si="7"/>
        <v>College Station</v>
      </c>
      <c r="F234" s="1" t="str">
        <f t="shared" si="8"/>
        <v>77843</v>
      </c>
      <c r="G234" t="s">
        <v>8</v>
      </c>
    </row>
    <row r="235" spans="1:7" ht="15" customHeight="1">
      <c r="A235" s="1" t="str">
        <f>"0700"</f>
        <v>0700</v>
      </c>
      <c r="B235" s="1">
        <f>""</f>
      </c>
      <c r="C235" s="1" t="str">
        <f>"ESTI 3-STORY PROJECT"</f>
        <v>ESTI 3-STORY PROJECT</v>
      </c>
      <c r="D235" s="1" t="str">
        <f>"1595 Nuclear Science Rd."</f>
        <v>1595 Nuclear Science Rd.</v>
      </c>
      <c r="E235" s="1" t="str">
        <f t="shared" si="7"/>
        <v>College Station</v>
      </c>
      <c r="F235" s="1" t="str">
        <f t="shared" si="8"/>
        <v>77843</v>
      </c>
      <c r="G235" t="s">
        <v>9</v>
      </c>
    </row>
    <row r="236" spans="1:7" ht="15" customHeight="1">
      <c r="A236" s="1" t="str">
        <f>"0715"</f>
        <v>0715</v>
      </c>
      <c r="B236" s="1">
        <f>""</f>
      </c>
      <c r="C236" s="1" t="str">
        <f>"CHEMISTRY CHEMICAL STORAGE"</f>
        <v>CHEMISTRY CHEMICAL STORAGE</v>
      </c>
      <c r="D236" s="1" t="str">
        <f>"610 Ross St."</f>
        <v>610 Ross St.</v>
      </c>
      <c r="E236" s="1" t="str">
        <f t="shared" si="7"/>
        <v>College Station</v>
      </c>
      <c r="F236" s="1" t="str">
        <f t="shared" si="8"/>
        <v>77843</v>
      </c>
      <c r="G236" t="s">
        <v>9</v>
      </c>
    </row>
    <row r="237" spans="1:7" ht="15" customHeight="1">
      <c r="A237" s="1" t="str">
        <f>"0717"</f>
        <v>0717</v>
      </c>
      <c r="B237" s="1">
        <f>""</f>
      </c>
      <c r="C237" s="1" t="str">
        <f>"STORAGE AND LAB--CYCLOTRON"</f>
        <v>STORAGE AND LAB--CYCLOTRON</v>
      </c>
      <c r="D237" s="1" t="str">
        <f>"176 Spence St."</f>
        <v>176 Spence St.</v>
      </c>
      <c r="E237" s="1" t="str">
        <f t="shared" si="7"/>
        <v>College Station</v>
      </c>
      <c r="F237" s="1" t="str">
        <f t="shared" si="8"/>
        <v>77843</v>
      </c>
      <c r="G237" t="s">
        <v>9</v>
      </c>
    </row>
    <row r="238" spans="1:7" ht="15" customHeight="1">
      <c r="A238" s="1" t="str">
        <f>"0718"</f>
        <v>0718</v>
      </c>
      <c r="B238" s="1">
        <f>""</f>
      </c>
      <c r="C238" s="1" t="str">
        <f>"STORAGE--CYCLOTRON"</f>
        <v>STORAGE--CYCLOTRON</v>
      </c>
      <c r="D238" s="1">
        <f>""</f>
      </c>
      <c r="E238" s="1" t="str">
        <f t="shared" si="7"/>
        <v>College Station</v>
      </c>
      <c r="F238" s="1" t="str">
        <f t="shared" si="8"/>
        <v>77843</v>
      </c>
      <c r="G238" t="s">
        <v>8</v>
      </c>
    </row>
    <row r="239" spans="1:7" ht="15" customHeight="1">
      <c r="A239" s="1" t="str">
        <f>"0721"</f>
        <v>0721</v>
      </c>
      <c r="B239" s="1">
        <f>""</f>
      </c>
      <c r="C239" s="1" t="str">
        <f>"ESTI WAREHOUSE FIRES"</f>
        <v>ESTI WAREHOUSE FIRES</v>
      </c>
      <c r="D239" s="1">
        <f>""</f>
      </c>
      <c r="E239" s="1" t="str">
        <f t="shared" si="7"/>
        <v>College Station</v>
      </c>
      <c r="F239" s="1" t="str">
        <f t="shared" si="8"/>
        <v>77843</v>
      </c>
      <c r="G239" t="s">
        <v>8</v>
      </c>
    </row>
    <row r="240" spans="1:7" ht="15" customHeight="1">
      <c r="A240" s="1" t="str">
        <f>"0724"</f>
        <v>0724</v>
      </c>
      <c r="B240" s="1">
        <f>""</f>
      </c>
      <c r="C240" s="1" t="str">
        <f>"ESTI BREATHING APPARATUS COMPRESSOR BUILDING"</f>
        <v>ESTI BREATHING APPARATUS COMPRESSOR BUILDING</v>
      </c>
      <c r="D240" s="1" t="str">
        <f>"1595 Nuclear Science Rd."</f>
        <v>1595 Nuclear Science Rd.</v>
      </c>
      <c r="E240" s="1" t="str">
        <f t="shared" si="7"/>
        <v>College Station</v>
      </c>
      <c r="F240" s="1" t="str">
        <f t="shared" si="8"/>
        <v>77843</v>
      </c>
      <c r="G240" t="s">
        <v>9</v>
      </c>
    </row>
    <row r="241" spans="1:7" ht="15" customHeight="1">
      <c r="A241" s="1" t="str">
        <f>"0726"</f>
        <v>0726</v>
      </c>
      <c r="B241" s="1">
        <f>""</f>
      </c>
      <c r="C241" s="1" t="str">
        <f>"GROUNDS MAINTENANCE GREENHOUSE 4"</f>
        <v>GROUNDS MAINTENANCE GREENHOUSE 4</v>
      </c>
      <c r="D241" s="1">
        <f>""</f>
      </c>
      <c r="E241" s="1" t="str">
        <f t="shared" si="7"/>
        <v>College Station</v>
      </c>
      <c r="F241" s="1" t="str">
        <f t="shared" si="8"/>
        <v>77843</v>
      </c>
      <c r="G241" t="s">
        <v>8</v>
      </c>
    </row>
    <row r="242" spans="1:7" ht="15" customHeight="1">
      <c r="A242" s="1" t="str">
        <f>"0728"</f>
        <v>0728</v>
      </c>
      <c r="B242" s="1">
        <f>""</f>
      </c>
      <c r="C242" s="1" t="str">
        <f>"GROUNDS MAINTENANCE GREENHOUSE 5"</f>
        <v>GROUNDS MAINTENANCE GREENHOUSE 5</v>
      </c>
      <c r="D242" s="1">
        <f>""</f>
      </c>
      <c r="E242" s="1" t="str">
        <f t="shared" si="7"/>
        <v>College Station</v>
      </c>
      <c r="F242" s="1" t="str">
        <f t="shared" si="8"/>
        <v>77843</v>
      </c>
      <c r="G242" t="s">
        <v>8</v>
      </c>
    </row>
    <row r="243" spans="1:7" ht="15" customHeight="1">
      <c r="A243" s="1" t="str">
        <f>"0729"</f>
        <v>0729</v>
      </c>
      <c r="B243" s="1">
        <f>""</f>
      </c>
      <c r="C243" s="1" t="str">
        <f>"BIOLOGY GREENHOUSE"</f>
        <v>BIOLOGY GREENHOUSE</v>
      </c>
      <c r="D243" s="1" t="str">
        <f>"570 Floriculture Rd."</f>
        <v>570 Floriculture Rd.</v>
      </c>
      <c r="E243" s="1" t="str">
        <f t="shared" si="7"/>
        <v>College Station</v>
      </c>
      <c r="F243" s="1" t="str">
        <f t="shared" si="8"/>
        <v>77843</v>
      </c>
      <c r="G243" t="s">
        <v>9</v>
      </c>
    </row>
    <row r="244" spans="1:7" ht="15" customHeight="1">
      <c r="A244" s="1" t="str">
        <f>"0732"</f>
        <v>0732</v>
      </c>
      <c r="B244" s="1">
        <f>""</f>
      </c>
      <c r="C244" s="1" t="str">
        <f>"GROUNDS MAINTENANCE GREENHOUSE"</f>
        <v>GROUNDS MAINTENANCE GREENHOUSE</v>
      </c>
      <c r="D244" s="1">
        <f>""</f>
      </c>
      <c r="E244" s="1" t="str">
        <f t="shared" si="7"/>
        <v>College Station</v>
      </c>
      <c r="F244" s="1" t="str">
        <f t="shared" si="8"/>
        <v>77843</v>
      </c>
      <c r="G244" t="s">
        <v>8</v>
      </c>
    </row>
    <row r="245" spans="1:7" ht="15" customHeight="1">
      <c r="A245" s="1" t="str">
        <f>"0733"</f>
        <v>0733</v>
      </c>
      <c r="B245" s="1">
        <f>""</f>
      </c>
      <c r="C245" s="1" t="str">
        <f>"GROUNDS MAINTENANCE GREENHOUSE"</f>
        <v>GROUNDS MAINTENANCE GREENHOUSE</v>
      </c>
      <c r="D245" s="1">
        <f>""</f>
      </c>
      <c r="E245" s="1" t="str">
        <f t="shared" si="7"/>
        <v>College Station</v>
      </c>
      <c r="F245" s="1" t="str">
        <f t="shared" si="8"/>
        <v>77843</v>
      </c>
      <c r="G245" t="s">
        <v>8</v>
      </c>
    </row>
    <row r="246" spans="1:7" ht="15" customHeight="1">
      <c r="A246" s="1" t="str">
        <f>"0740"</f>
        <v>0740</v>
      </c>
      <c r="B246" s="1" t="str">
        <f>"MCNW"</f>
        <v>MCNW</v>
      </c>
      <c r="C246" s="1" t="str">
        <f>"MCNEW LABORATORY"</f>
        <v>MCNEW LABORATORY</v>
      </c>
      <c r="D246" s="1" t="str">
        <f>"185 Spence St."</f>
        <v>185 Spence St.</v>
      </c>
      <c r="E246" s="1" t="str">
        <f t="shared" si="7"/>
        <v>College Station</v>
      </c>
      <c r="F246" s="1" t="str">
        <f t="shared" si="8"/>
        <v>77843</v>
      </c>
      <c r="G246" t="s">
        <v>9</v>
      </c>
    </row>
    <row r="247" spans="1:7" ht="15" customHeight="1">
      <c r="A247" s="1" t="str">
        <f>"0742"</f>
        <v>0742</v>
      </c>
      <c r="B247" s="1">
        <f>""</f>
      </c>
      <c r="C247" s="1" t="str">
        <f>"GROUNDS MAINTENANCE STORAGE"</f>
        <v>GROUNDS MAINTENANCE STORAGE</v>
      </c>
      <c r="D247" s="1">
        <f>""</f>
      </c>
      <c r="E247" s="1" t="str">
        <f t="shared" si="7"/>
        <v>College Station</v>
      </c>
      <c r="F247" s="1" t="str">
        <f t="shared" si="8"/>
        <v>77843</v>
      </c>
      <c r="G247" t="s">
        <v>8</v>
      </c>
    </row>
    <row r="248" spans="1:7" ht="15" customHeight="1">
      <c r="A248" s="1" t="str">
        <f>"0744"</f>
        <v>0744</v>
      </c>
      <c r="B248" s="1">
        <f>""</f>
      </c>
      <c r="C248" s="1" t="str">
        <f>"WIND TUNNEL COMPRESSOR BLDG"</f>
        <v>WIND TUNNEL COMPRESSOR BLDG</v>
      </c>
      <c r="D248" s="1">
        <f>""</f>
      </c>
      <c r="E248" s="1" t="str">
        <f t="shared" si="7"/>
        <v>College Station</v>
      </c>
      <c r="F248" s="1" t="str">
        <f t="shared" si="8"/>
        <v>77843</v>
      </c>
      <c r="G248" t="s">
        <v>8</v>
      </c>
    </row>
    <row r="249" spans="1:7" ht="15" customHeight="1">
      <c r="A249" s="1" t="str">
        <f>"0747"</f>
        <v>0747</v>
      </c>
      <c r="B249" s="1">
        <f>""</f>
      </c>
      <c r="C249" s="1" t="str">
        <f>"GROUNDS MAINTENANCE SUPPLY BLDG"</f>
        <v>GROUNDS MAINTENANCE SUPPLY BLDG</v>
      </c>
      <c r="D249" s="1" t="str">
        <f>"506 College Av."</f>
        <v>506 College Av.</v>
      </c>
      <c r="E249" s="1" t="str">
        <f t="shared" si="7"/>
        <v>College Station</v>
      </c>
      <c r="F249" s="1" t="str">
        <f t="shared" si="8"/>
        <v>77843</v>
      </c>
      <c r="G249" t="s">
        <v>9</v>
      </c>
    </row>
    <row r="250" spans="1:7" ht="15" customHeight="1">
      <c r="A250" s="1" t="str">
        <f>"0753"</f>
        <v>0753</v>
      </c>
      <c r="B250" s="1">
        <f>""</f>
      </c>
      <c r="C250" s="1" t="str">
        <f>"HORTICULTURE SCIENCE FIELD RESIDENCE &amp; STORAGE"</f>
        <v>HORTICULTURE SCIENCE FIELD RESIDENCE &amp; STORAGE</v>
      </c>
      <c r="D250" s="1" t="str">
        <f>"699 Raymond Stotzer Pw."</f>
        <v>699 Raymond Stotzer Pw.</v>
      </c>
      <c r="E250" s="1" t="str">
        <f t="shared" si="7"/>
        <v>College Station</v>
      </c>
      <c r="F250" s="1" t="str">
        <f t="shared" si="8"/>
        <v>77843</v>
      </c>
      <c r="G250" t="s">
        <v>9</v>
      </c>
    </row>
    <row r="251" spans="1:7" ht="15" customHeight="1">
      <c r="A251" s="1" t="str">
        <f>"0754"</f>
        <v>0754</v>
      </c>
      <c r="B251" s="1">
        <f>""</f>
      </c>
      <c r="C251" s="1" t="str">
        <f>"EASTERWOOD SHOPS"</f>
        <v>EASTERWOOD SHOPS</v>
      </c>
      <c r="D251" s="1" t="str">
        <f>"1810 George Bush Dr. W."</f>
        <v>1810 George Bush Dr. W.</v>
      </c>
      <c r="E251" s="1" t="str">
        <f t="shared" si="7"/>
        <v>College Station</v>
      </c>
      <c r="F251" s="1" t="str">
        <f t="shared" si="8"/>
        <v>77843</v>
      </c>
      <c r="G251" t="s">
        <v>9</v>
      </c>
    </row>
    <row r="252" spans="1:7" ht="15" customHeight="1">
      <c r="A252" s="1" t="str">
        <f>"0755"</f>
        <v>0755</v>
      </c>
      <c r="B252" s="1">
        <f>""</f>
      </c>
      <c r="C252" s="1" t="str">
        <f>"EASTERWOOD GENERAL AVIATION TERMINAL"</f>
        <v>EASTERWOOD GENERAL AVIATION TERMINAL</v>
      </c>
      <c r="D252" s="1" t="str">
        <f>"1770 George Bush Dr. W."</f>
        <v>1770 George Bush Dr. W.</v>
      </c>
      <c r="E252" s="1" t="str">
        <f t="shared" si="7"/>
        <v>College Station</v>
      </c>
      <c r="F252" s="1" t="str">
        <f t="shared" si="8"/>
        <v>77843</v>
      </c>
      <c r="G252" t="s">
        <v>9</v>
      </c>
    </row>
    <row r="253" spans="1:7" ht="15" customHeight="1">
      <c r="A253" s="1" t="str">
        <f>"0756"</f>
        <v>0756</v>
      </c>
      <c r="B253" s="1">
        <f>""</f>
      </c>
      <c r="C253" s="1" t="str">
        <f>"EASTERWOOD AIRPORT HANGAR"</f>
        <v>EASTERWOOD AIRPORT HANGAR</v>
      </c>
      <c r="D253" s="1" t="str">
        <f>"1680 George Bush Dr. W."</f>
        <v>1680 George Bush Dr. W.</v>
      </c>
      <c r="E253" s="1" t="str">
        <f t="shared" si="7"/>
        <v>College Station</v>
      </c>
      <c r="F253" s="1" t="str">
        <f t="shared" si="8"/>
        <v>77843</v>
      </c>
      <c r="G253" t="s">
        <v>9</v>
      </c>
    </row>
    <row r="254" spans="1:7" ht="15" customHeight="1">
      <c r="A254" s="1" t="str">
        <f>"0759"</f>
        <v>0759</v>
      </c>
      <c r="B254" s="1" t="str">
        <f>"WIND"</f>
        <v>WIND</v>
      </c>
      <c r="C254" s="1" t="str">
        <f>"NICKS LOW SPEED WIND TUNNEL"</f>
        <v>NICKS LOW SPEED WIND TUNNEL</v>
      </c>
      <c r="D254" s="1" t="str">
        <f>"1775 George Bush Dr. W."</f>
        <v>1775 George Bush Dr. W.</v>
      </c>
      <c r="E254" s="1" t="str">
        <f t="shared" si="7"/>
        <v>College Station</v>
      </c>
      <c r="F254" s="1" t="str">
        <f t="shared" si="8"/>
        <v>77843</v>
      </c>
      <c r="G254" t="s">
        <v>9</v>
      </c>
    </row>
    <row r="255" spans="1:7" ht="15" customHeight="1">
      <c r="A255" s="1" t="str">
        <f>"0797"</f>
        <v>0797</v>
      </c>
      <c r="B255" s="1">
        <f>""</f>
      </c>
      <c r="C255" s="1" t="str">
        <f>"HORTICULTURE IMPLEMENT SHED - A"</f>
        <v>HORTICULTURE IMPLEMENT SHED - A</v>
      </c>
      <c r="D255" s="1">
        <f>""</f>
      </c>
      <c r="E255" s="1" t="str">
        <f t="shared" si="7"/>
        <v>College Station</v>
      </c>
      <c r="F255" s="1" t="str">
        <f t="shared" si="8"/>
        <v>77843</v>
      </c>
      <c r="G255" t="s">
        <v>8</v>
      </c>
    </row>
    <row r="256" spans="1:7" ht="15" customHeight="1">
      <c r="A256" s="1" t="str">
        <f>"0798"</f>
        <v>0798</v>
      </c>
      <c r="B256" s="1">
        <f>""</f>
      </c>
      <c r="C256" s="1" t="str">
        <f>"HORTICULTURE IMPLEMENT SHED - B"</f>
        <v>HORTICULTURE IMPLEMENT SHED - B</v>
      </c>
      <c r="D256" s="1">
        <f>""</f>
      </c>
      <c r="E256" s="1" t="str">
        <f t="shared" si="7"/>
        <v>College Station</v>
      </c>
      <c r="F256" s="1" t="str">
        <f t="shared" si="8"/>
        <v>77843</v>
      </c>
      <c r="G256" t="s">
        <v>8</v>
      </c>
    </row>
    <row r="257" spans="1:7" ht="15" customHeight="1">
      <c r="A257" s="1" t="str">
        <f>"0799"</f>
        <v>0799</v>
      </c>
      <c r="B257" s="1">
        <f>""</f>
      </c>
      <c r="C257" s="1" t="str">
        <f>"HORTICULTURE SHOP"</f>
        <v>HORTICULTURE SHOP</v>
      </c>
      <c r="D257" s="1">
        <f>""</f>
      </c>
      <c r="E257" s="1" t="str">
        <f t="shared" si="7"/>
        <v>College Station</v>
      </c>
      <c r="F257" s="1" t="str">
        <f t="shared" si="8"/>
        <v>77843</v>
      </c>
      <c r="G257" t="s">
        <v>8</v>
      </c>
    </row>
    <row r="258" spans="1:7" ht="15" customHeight="1">
      <c r="A258" s="1" t="str">
        <f>"0806"</f>
        <v>0806</v>
      </c>
      <c r="B258" s="1" t="str">
        <f>"DSBC"</f>
        <v>DSBC</v>
      </c>
      <c r="C258" s="1" t="str">
        <f>"BREEDING CENTER"</f>
        <v>BREEDING CENTER</v>
      </c>
      <c r="D258" s="1" t="str">
        <f>"2610 F &amp; B Rd."</f>
        <v>2610 F &amp; B Rd.</v>
      </c>
      <c r="E258" s="1" t="str">
        <f aca="true" t="shared" si="9" ref="E258:E321">"College Station"</f>
        <v>College Station</v>
      </c>
      <c r="F258" s="1" t="str">
        <f aca="true" t="shared" si="10" ref="F258:F315">"77843"</f>
        <v>77843</v>
      </c>
      <c r="G258" t="s">
        <v>9</v>
      </c>
    </row>
    <row r="259" spans="1:7" ht="15" customHeight="1">
      <c r="A259" s="1" t="str">
        <f>"0815"</f>
        <v>0815</v>
      </c>
      <c r="B259" s="1" t="str">
        <f>"ERLB"</f>
        <v>ERLB</v>
      </c>
      <c r="C259" s="1" t="str">
        <f>"ENTOMOLOGY RESEARCH LAB"</f>
        <v>ENTOMOLOGY RESEARCH LAB</v>
      </c>
      <c r="D259" s="1" t="str">
        <f>"122 Agronomy Rd."</f>
        <v>122 Agronomy Rd.</v>
      </c>
      <c r="E259" s="1" t="str">
        <f t="shared" si="9"/>
        <v>College Station</v>
      </c>
      <c r="F259" s="1" t="str">
        <f t="shared" si="10"/>
        <v>77843</v>
      </c>
      <c r="G259" t="s">
        <v>9</v>
      </c>
    </row>
    <row r="260" spans="1:7" ht="15" customHeight="1">
      <c r="A260" s="1" t="str">
        <f>"0816"</f>
        <v>0816</v>
      </c>
      <c r="B260" s="1">
        <f>""</f>
      </c>
      <c r="C260" s="1" t="str">
        <f>"WATER DISTRIBUTION PUMP STATION NO. 1"</f>
        <v>WATER DISTRIBUTION PUMP STATION NO. 1</v>
      </c>
      <c r="D260" s="1" t="str">
        <f>"2416 F &amp; B Rd."</f>
        <v>2416 F &amp; B Rd.</v>
      </c>
      <c r="E260" s="1" t="str">
        <f t="shared" si="9"/>
        <v>College Station</v>
      </c>
      <c r="F260" s="1" t="str">
        <f t="shared" si="10"/>
        <v>77843</v>
      </c>
      <c r="G260" t="s">
        <v>9</v>
      </c>
    </row>
    <row r="261" spans="1:7" ht="15" customHeight="1">
      <c r="A261" s="1" t="str">
        <f>"0817"</f>
        <v>0817</v>
      </c>
      <c r="B261" s="1">
        <f>""</f>
      </c>
      <c r="C261" s="1" t="str">
        <f>"WELL FIELD PUMP STATION"</f>
        <v>WELL FIELD PUMP STATION</v>
      </c>
      <c r="D261" s="1" t="str">
        <f>"2951 Luza Ln."</f>
        <v>2951 Luza Ln.</v>
      </c>
      <c r="E261" s="1" t="str">
        <f t="shared" si="9"/>
        <v>College Station</v>
      </c>
      <c r="F261" s="1" t="str">
        <f t="shared" si="10"/>
        <v>77843</v>
      </c>
      <c r="G261" t="s">
        <v>9</v>
      </c>
    </row>
    <row r="262" spans="1:7" ht="15" customHeight="1">
      <c r="A262" s="1" t="str">
        <f>"0824"</f>
        <v>0824</v>
      </c>
      <c r="B262" s="1">
        <f>""</f>
      </c>
      <c r="C262" s="1" t="str">
        <f>"GROUNDS MAINTENANCE IMPLEMENT SHED"</f>
        <v>GROUNDS MAINTENANCE IMPLEMENT SHED</v>
      </c>
      <c r="D262" s="1">
        <f>""</f>
      </c>
      <c r="E262" s="1" t="str">
        <f t="shared" si="9"/>
        <v>College Station</v>
      </c>
      <c r="F262" s="1" t="str">
        <f t="shared" si="10"/>
        <v>77843</v>
      </c>
      <c r="G262" t="s">
        <v>8</v>
      </c>
    </row>
    <row r="263" spans="1:7" ht="15" customHeight="1">
      <c r="A263" s="1" t="str">
        <f>"0828"</f>
        <v>0828</v>
      </c>
      <c r="B263" s="1">
        <f>""</f>
      </c>
      <c r="C263" s="1" t="str">
        <f>"GROUNDS SHOP WAREHOUSE"</f>
        <v>GROUNDS SHOP WAREHOUSE</v>
      </c>
      <c r="D263" s="1">
        <f>""</f>
      </c>
      <c r="E263" s="1" t="str">
        <f t="shared" si="9"/>
        <v>College Station</v>
      </c>
      <c r="F263" s="1" t="str">
        <f t="shared" si="10"/>
        <v>77843</v>
      </c>
      <c r="G263" t="s">
        <v>8</v>
      </c>
    </row>
    <row r="264" spans="1:7" ht="15" customHeight="1">
      <c r="A264" s="1" t="str">
        <f>"0829"</f>
        <v>0829</v>
      </c>
      <c r="B264" s="1">
        <f>""</f>
      </c>
      <c r="C264" s="1" t="str">
        <f>"GROUNDS MAINTENANCE OFFICE SHOP/STOR"</f>
        <v>GROUNDS MAINTENANCE OFFICE SHOP/STOR</v>
      </c>
      <c r="D264" s="1" t="str">
        <f>"512 College Av."</f>
        <v>512 College Av.</v>
      </c>
      <c r="E264" s="1" t="str">
        <f t="shared" si="9"/>
        <v>College Station</v>
      </c>
      <c r="F264" s="1" t="str">
        <f t="shared" si="10"/>
        <v>77843</v>
      </c>
      <c r="G264" t="s">
        <v>9</v>
      </c>
    </row>
    <row r="265" spans="1:7" ht="15" customHeight="1">
      <c r="A265" s="1" t="str">
        <f>"0831"</f>
        <v>0831</v>
      </c>
      <c r="B265" s="1">
        <f>""</f>
      </c>
      <c r="C265" s="1" t="str">
        <f>"GROUNDS MAINTENANCE GREENHOUSE"</f>
        <v>GROUNDS MAINTENANCE GREENHOUSE</v>
      </c>
      <c r="D265" s="1" t="str">
        <f>"510 College Av."</f>
        <v>510 College Av.</v>
      </c>
      <c r="E265" s="1" t="str">
        <f t="shared" si="9"/>
        <v>College Station</v>
      </c>
      <c r="F265" s="1" t="str">
        <f t="shared" si="10"/>
        <v>77843</v>
      </c>
      <c r="G265" t="s">
        <v>9</v>
      </c>
    </row>
    <row r="266" spans="1:7" ht="15" customHeight="1">
      <c r="A266" s="1" t="str">
        <f>"0853"</f>
        <v>0853</v>
      </c>
      <c r="B266" s="1" t="str">
        <f>"HRCT"</f>
        <v>HRCT</v>
      </c>
      <c r="C266" s="1" t="str">
        <f>"HORSE CENTER"</f>
        <v>HORSE CENTER</v>
      </c>
      <c r="D266" s="1" t="str">
        <f>"461 George Bush Dr. W."</f>
        <v>461 George Bush Dr. W.</v>
      </c>
      <c r="E266" s="1" t="str">
        <f t="shared" si="9"/>
        <v>College Station</v>
      </c>
      <c r="F266" s="1" t="str">
        <f t="shared" si="10"/>
        <v>77843</v>
      </c>
      <c r="G266" t="s">
        <v>9</v>
      </c>
    </row>
    <row r="267" spans="1:7" ht="15" customHeight="1">
      <c r="A267" s="1" t="str">
        <f>"0861"</f>
        <v>0861</v>
      </c>
      <c r="B267" s="1" t="str">
        <f>"INSC"</f>
        <v>INSC</v>
      </c>
      <c r="C267" s="1" t="str">
        <f>"CUSE-CHEMISTRY"</f>
        <v>CUSE-CHEMISTRY</v>
      </c>
      <c r="D267" s="1" t="str">
        <f>"156 Agronomy Rd."</f>
        <v>156 Agronomy Rd.</v>
      </c>
      <c r="E267" s="1" t="str">
        <f t="shared" si="9"/>
        <v>College Station</v>
      </c>
      <c r="F267" s="1" t="str">
        <f t="shared" si="10"/>
        <v>77843</v>
      </c>
      <c r="G267" t="s">
        <v>9</v>
      </c>
    </row>
    <row r="268" spans="1:7" ht="15" customHeight="1">
      <c r="A268" s="1" t="str">
        <f>"0862"</f>
        <v>0862</v>
      </c>
      <c r="B268" s="1">
        <f>""</f>
      </c>
      <c r="C268" s="1" t="str">
        <f>"BUTLER BUILDING"</f>
        <v>BUTLER BUILDING</v>
      </c>
      <c r="D268" s="1">
        <f>""</f>
      </c>
      <c r="E268" s="1" t="str">
        <f t="shared" si="9"/>
        <v>College Station</v>
      </c>
      <c r="F268" s="1" t="str">
        <f t="shared" si="10"/>
        <v>77843</v>
      </c>
      <c r="G268" t="s">
        <v>8</v>
      </c>
    </row>
    <row r="269" spans="1:7" ht="15" customHeight="1">
      <c r="A269" s="1" t="str">
        <f>"0880"</f>
        <v>0880</v>
      </c>
      <c r="B269" s="1">
        <f>""</f>
      </c>
      <c r="C269" s="1" t="str">
        <f>"TVMC-SMALL ANIMAL BUILDING"</f>
        <v>TVMC-SMALL ANIMAL BUILDING</v>
      </c>
      <c r="D269" s="1" t="str">
        <f>"141 Agronomy Rd."</f>
        <v>141 Agronomy Rd.</v>
      </c>
      <c r="E269" s="1" t="str">
        <f t="shared" si="9"/>
        <v>College Station</v>
      </c>
      <c r="F269" s="1" t="str">
        <f t="shared" si="10"/>
        <v>77843</v>
      </c>
      <c r="G269" t="s">
        <v>9</v>
      </c>
    </row>
    <row r="270" spans="1:7" ht="15" customHeight="1">
      <c r="A270" s="1" t="str">
        <f>"0883"</f>
        <v>0883</v>
      </c>
      <c r="B270" s="1" t="str">
        <f>"VMLA"</f>
        <v>VMLA</v>
      </c>
      <c r="C270" s="1" t="str">
        <f>"LARGE ANIMAL HOLDING"</f>
        <v>LARGE ANIMAL HOLDING</v>
      </c>
      <c r="D270" s="1">
        <f>""</f>
      </c>
      <c r="E270" s="1" t="str">
        <f t="shared" si="9"/>
        <v>College Station</v>
      </c>
      <c r="F270" s="1" t="str">
        <f t="shared" si="10"/>
        <v>77843</v>
      </c>
      <c r="G270" t="s">
        <v>8</v>
      </c>
    </row>
    <row r="271" spans="1:7" ht="15" customHeight="1">
      <c r="A271" s="1" t="str">
        <f>"0884"</f>
        <v>0884</v>
      </c>
      <c r="B271" s="1">
        <f>""</f>
      </c>
      <c r="C271" s="1" t="str">
        <f>"ENTOMOLOGY APIARY BLDG"</f>
        <v>ENTOMOLOGY APIARY BLDG</v>
      </c>
      <c r="D271" s="1" t="str">
        <f>"152 Agronomy Rd."</f>
        <v>152 Agronomy Rd.</v>
      </c>
      <c r="E271" s="1" t="str">
        <f t="shared" si="9"/>
        <v>College Station</v>
      </c>
      <c r="F271" s="1" t="str">
        <f t="shared" si="10"/>
        <v>77843</v>
      </c>
      <c r="G271" t="s">
        <v>9</v>
      </c>
    </row>
    <row r="272" spans="1:7" ht="15" customHeight="1">
      <c r="A272" s="1" t="str">
        <f>"0940"</f>
        <v>0940</v>
      </c>
      <c r="B272" s="1">
        <f>""</f>
      </c>
      <c r="C272" s="1" t="str">
        <f>"PHOTOSENSITIVIZATION LAB"</f>
        <v>PHOTOSENSITIVIZATION LAB</v>
      </c>
      <c r="D272" s="1" t="str">
        <f>"529 Turk Rd."</f>
        <v>529 Turk Rd.</v>
      </c>
      <c r="E272" s="1" t="str">
        <f t="shared" si="9"/>
        <v>College Station</v>
      </c>
      <c r="F272" s="1" t="str">
        <f t="shared" si="10"/>
        <v>77843</v>
      </c>
      <c r="G272" t="s">
        <v>9</v>
      </c>
    </row>
    <row r="273" spans="1:7" ht="15" customHeight="1">
      <c r="A273" s="1" t="str">
        <f>"0943"</f>
        <v>0943</v>
      </c>
      <c r="B273" s="1">
        <f>""</f>
      </c>
      <c r="C273" s="1" t="str">
        <f>"TVMC-BARN NO 2"</f>
        <v>TVMC-BARN NO 2</v>
      </c>
      <c r="D273" s="1">
        <f>""</f>
      </c>
      <c r="E273" s="1" t="str">
        <f t="shared" si="9"/>
        <v>College Station</v>
      </c>
      <c r="F273" s="1" t="str">
        <f t="shared" si="10"/>
        <v>77843</v>
      </c>
      <c r="G273" t="s">
        <v>8</v>
      </c>
    </row>
    <row r="274" spans="1:7" ht="15" customHeight="1">
      <c r="A274" s="1" t="str">
        <f>"0954"</f>
        <v>0954</v>
      </c>
      <c r="B274" s="1" t="str">
        <f>"AGRL"</f>
        <v>AGRL</v>
      </c>
      <c r="C274" s="1" t="str">
        <f>"AGRONOMY FIELD LAB"</f>
        <v>AGRONOMY FIELD LAB</v>
      </c>
      <c r="D274" s="1" t="str">
        <f>"285 Agronomy Rd."</f>
        <v>285 Agronomy Rd.</v>
      </c>
      <c r="E274" s="1" t="str">
        <f t="shared" si="9"/>
        <v>College Station</v>
      </c>
      <c r="F274" s="1" t="str">
        <f t="shared" si="10"/>
        <v>77843</v>
      </c>
      <c r="G274" t="s">
        <v>9</v>
      </c>
    </row>
    <row r="275" spans="1:7" ht="15" customHeight="1">
      <c r="A275" s="1" t="str">
        <f>"0955"</f>
        <v>0955</v>
      </c>
      <c r="B275" s="1">
        <f>""</f>
      </c>
      <c r="C275" s="1" t="str">
        <f>"SOIL/CROP COTTON GENETIC GREENHOUSE"</f>
        <v>SOIL/CROP COTTON GENETIC GREENHOUSE</v>
      </c>
      <c r="D275" s="1" t="str">
        <f>"357 Agronomy Rd."</f>
        <v>357 Agronomy Rd.</v>
      </c>
      <c r="E275" s="1" t="str">
        <f t="shared" si="9"/>
        <v>College Station</v>
      </c>
      <c r="F275" s="1" t="str">
        <f t="shared" si="10"/>
        <v>77843</v>
      </c>
      <c r="G275" t="s">
        <v>9</v>
      </c>
    </row>
    <row r="276" spans="1:7" ht="15" customHeight="1">
      <c r="A276" s="1" t="str">
        <f>"0956"</f>
        <v>0956</v>
      </c>
      <c r="B276" s="1" t="str">
        <f>"PPAT"</f>
        <v>PPAT</v>
      </c>
      <c r="C276" s="1" t="str">
        <f>"PLANT PAT PHY FIELD LAB"</f>
        <v>PLANT PAT PHY FIELD LAB</v>
      </c>
      <c r="D276" s="1" t="str">
        <f>"787 Agronomy Rd."</f>
        <v>787 Agronomy Rd.</v>
      </c>
      <c r="E276" s="1" t="str">
        <f t="shared" si="9"/>
        <v>College Station</v>
      </c>
      <c r="F276" s="1" t="str">
        <f t="shared" si="10"/>
        <v>77843</v>
      </c>
      <c r="G276" t="s">
        <v>9</v>
      </c>
    </row>
    <row r="277" spans="1:7" ht="15" customHeight="1">
      <c r="A277" s="1" t="str">
        <f>"0957"</f>
        <v>0957</v>
      </c>
      <c r="B277" s="1" t="str">
        <f>"PRCH"</f>
        <v>PRCH</v>
      </c>
      <c r="C277" s="1" t="str">
        <f>"PURCHASING &amp; STORES"</f>
        <v>PURCHASING &amp; STORES</v>
      </c>
      <c r="D277" s="1" t="str">
        <f>"330 Agronomy Rd."</f>
        <v>330 Agronomy Rd.</v>
      </c>
      <c r="E277" s="1" t="str">
        <f t="shared" si="9"/>
        <v>College Station</v>
      </c>
      <c r="F277" s="1" t="str">
        <f t="shared" si="10"/>
        <v>77843</v>
      </c>
      <c r="G277" t="s">
        <v>9</v>
      </c>
    </row>
    <row r="278" spans="1:7" ht="15" customHeight="1">
      <c r="A278" s="1" t="str">
        <f>"0958"</f>
        <v>0958</v>
      </c>
      <c r="B278" s="1">
        <f>""</f>
      </c>
      <c r="C278" s="1" t="str">
        <f>"FLEET SERVICES"</f>
        <v>FLEET SERVICES</v>
      </c>
      <c r="D278" s="1" t="str">
        <f>"388 Agronomy Rd."</f>
        <v>388 Agronomy Rd.</v>
      </c>
      <c r="E278" s="1" t="str">
        <f t="shared" si="9"/>
        <v>College Station</v>
      </c>
      <c r="F278" s="1" t="str">
        <f t="shared" si="10"/>
        <v>77843</v>
      </c>
      <c r="G278" t="s">
        <v>9</v>
      </c>
    </row>
    <row r="279" spans="1:7" ht="15" customHeight="1">
      <c r="A279" s="1" t="str">
        <f>"0959"</f>
        <v>0959</v>
      </c>
      <c r="B279" s="1">
        <f>""</f>
      </c>
      <c r="C279" s="1" t="str">
        <f>"PLANT SCIENCE GREENHOUSE"</f>
        <v>PLANT SCIENCE GREENHOUSE</v>
      </c>
      <c r="D279" s="1" t="str">
        <f>"367 Agronomy Rd."</f>
        <v>367 Agronomy Rd.</v>
      </c>
      <c r="E279" s="1" t="str">
        <f t="shared" si="9"/>
        <v>College Station</v>
      </c>
      <c r="F279" s="1" t="str">
        <f t="shared" si="10"/>
        <v>77843</v>
      </c>
      <c r="G279" t="s">
        <v>9</v>
      </c>
    </row>
    <row r="280" spans="1:7" ht="15" customHeight="1">
      <c r="A280" s="1" t="str">
        <f>"0960"</f>
        <v>0960</v>
      </c>
      <c r="B280" s="1">
        <f>""</f>
      </c>
      <c r="C280" s="1" t="str">
        <f>"SCS FORAGE GREENHOUSE"</f>
        <v>SCS FORAGE GREENHOUSE</v>
      </c>
      <c r="D280" s="1">
        <f>""</f>
      </c>
      <c r="E280" s="1" t="str">
        <f t="shared" si="9"/>
        <v>College Station</v>
      </c>
      <c r="F280" s="1" t="str">
        <f t="shared" si="10"/>
        <v>77843</v>
      </c>
      <c r="G280" t="s">
        <v>8</v>
      </c>
    </row>
    <row r="281" spans="1:7" ht="15" customHeight="1">
      <c r="A281" s="1" t="str">
        <f>"0961"</f>
        <v>0961</v>
      </c>
      <c r="B281" s="1">
        <f>""</f>
      </c>
      <c r="C281" s="1" t="str">
        <f>"COTTON GREENHOUSE"</f>
        <v>COTTON GREENHOUSE</v>
      </c>
      <c r="D281" s="1">
        <f>""</f>
      </c>
      <c r="E281" s="1" t="str">
        <f t="shared" si="9"/>
        <v>College Station</v>
      </c>
      <c r="F281" s="1" t="str">
        <f t="shared" si="10"/>
        <v>77843</v>
      </c>
      <c r="G281" t="s">
        <v>8</v>
      </c>
    </row>
    <row r="282" spans="1:7" ht="15" customHeight="1">
      <c r="A282" s="1" t="str">
        <f>"0962"</f>
        <v>0962</v>
      </c>
      <c r="B282" s="1">
        <f>""</f>
      </c>
      <c r="C282" s="1" t="str">
        <f>"PLANT SCIENCE GRAIN SORGHUM GREENHOUSE"</f>
        <v>PLANT SCIENCE GRAIN SORGHUM GREENHOUSE</v>
      </c>
      <c r="D282" s="1">
        <f>""</f>
      </c>
      <c r="E282" s="1" t="str">
        <f t="shared" si="9"/>
        <v>College Station</v>
      </c>
      <c r="F282" s="1" t="str">
        <f t="shared" si="10"/>
        <v>77843</v>
      </c>
      <c r="G282" t="s">
        <v>8</v>
      </c>
    </row>
    <row r="283" spans="1:7" ht="15" customHeight="1">
      <c r="A283" s="1" t="str">
        <f>"0963"</f>
        <v>0963</v>
      </c>
      <c r="B283" s="1">
        <f>""</f>
      </c>
      <c r="C283" s="1" t="str">
        <f>"HORT &amp; PLANT SCI GREENHOUSE"</f>
        <v>HORT &amp; PLANT SCI GREENHOUSE</v>
      </c>
      <c r="D283" s="1">
        <f>""</f>
      </c>
      <c r="E283" s="1" t="str">
        <f t="shared" si="9"/>
        <v>College Station</v>
      </c>
      <c r="F283" s="1" t="str">
        <f t="shared" si="10"/>
        <v>77843</v>
      </c>
      <c r="G283" t="s">
        <v>8</v>
      </c>
    </row>
    <row r="284" spans="1:7" ht="15" customHeight="1">
      <c r="A284" s="1" t="str">
        <f>"0964"</f>
        <v>0964</v>
      </c>
      <c r="B284" s="1">
        <f>""</f>
      </c>
      <c r="C284" s="1" t="str">
        <f>"AGRONOMY GREENHOUSE"</f>
        <v>AGRONOMY GREENHOUSE</v>
      </c>
      <c r="D284" s="1">
        <f>""</f>
      </c>
      <c r="E284" s="1" t="str">
        <f t="shared" si="9"/>
        <v>College Station</v>
      </c>
      <c r="F284" s="1" t="str">
        <f t="shared" si="10"/>
        <v>77843</v>
      </c>
      <c r="G284" t="s">
        <v>8</v>
      </c>
    </row>
    <row r="285" spans="1:7" ht="15" customHeight="1">
      <c r="A285" s="1" t="str">
        <f>"0965"</f>
        <v>0965</v>
      </c>
      <c r="B285" s="1" t="str">
        <f>"BEAS"</f>
        <v>BEAS</v>
      </c>
      <c r="C285" s="1" t="str">
        <f>"BEASLEY LABORATORY"</f>
        <v>BEASLEY LABORATORY</v>
      </c>
      <c r="D285" s="1" t="str">
        <f>"363 Agronomy Rd."</f>
        <v>363 Agronomy Rd.</v>
      </c>
      <c r="E285" s="1" t="str">
        <f t="shared" si="9"/>
        <v>College Station</v>
      </c>
      <c r="F285" s="1" t="str">
        <f t="shared" si="10"/>
        <v>77843</v>
      </c>
      <c r="G285" t="s">
        <v>9</v>
      </c>
    </row>
    <row r="286" spans="1:7" ht="15" customHeight="1">
      <c r="A286" s="1" t="str">
        <f>"0966"</f>
        <v>0966</v>
      </c>
      <c r="B286" s="1">
        <f>""</f>
      </c>
      <c r="C286" s="1" t="str">
        <f>"PURCHASING &amp; STORES - GENERAL STORAGE"</f>
        <v>PURCHASING &amp; STORES - GENERAL STORAGE</v>
      </c>
      <c r="D286" s="1">
        <f>""</f>
      </c>
      <c r="E286" s="1" t="str">
        <f t="shared" si="9"/>
        <v>College Station</v>
      </c>
      <c r="F286" s="1" t="str">
        <f t="shared" si="10"/>
        <v>77843</v>
      </c>
      <c r="G286" t="s">
        <v>8</v>
      </c>
    </row>
    <row r="287" spans="1:7" ht="15" customHeight="1">
      <c r="A287" s="1" t="str">
        <f>"0967"</f>
        <v>0967</v>
      </c>
      <c r="B287" s="1">
        <f>""</f>
      </c>
      <c r="C287" s="1" t="str">
        <f>"PURCHASING &amp; STORES - VOLATILE STORAGE"</f>
        <v>PURCHASING &amp; STORES - VOLATILE STORAGE</v>
      </c>
      <c r="D287" s="1" t="str">
        <f>"280 Agronomy Rd."</f>
        <v>280 Agronomy Rd.</v>
      </c>
      <c r="E287" s="1" t="str">
        <f t="shared" si="9"/>
        <v>College Station</v>
      </c>
      <c r="F287" s="1" t="str">
        <f t="shared" si="10"/>
        <v>77843</v>
      </c>
      <c r="G287" t="s">
        <v>9</v>
      </c>
    </row>
    <row r="288" spans="1:7" ht="15" customHeight="1">
      <c r="A288" s="1" t="str">
        <f>"0968"</f>
        <v>0968</v>
      </c>
      <c r="B288" s="1">
        <f>""</f>
      </c>
      <c r="C288" s="1" t="str">
        <f>"HORTICULTURE VEG BREEDING GREENHOUSE"</f>
        <v>HORTICULTURE VEG BREEDING GREENHOUSE</v>
      </c>
      <c r="D288" s="1">
        <f>""</f>
      </c>
      <c r="E288" s="1" t="str">
        <f t="shared" si="9"/>
        <v>College Station</v>
      </c>
      <c r="F288" s="1" t="str">
        <f t="shared" si="10"/>
        <v>77843</v>
      </c>
      <c r="G288" t="s">
        <v>8</v>
      </c>
    </row>
    <row r="289" spans="1:7" ht="15" customHeight="1">
      <c r="A289" s="1" t="str">
        <f>"0969"</f>
        <v>0969</v>
      </c>
      <c r="B289" s="1">
        <f>""</f>
      </c>
      <c r="C289" s="1" t="str">
        <f>"TRANSIT SERVICES"</f>
        <v>TRANSIT SERVICES</v>
      </c>
      <c r="D289" s="1" t="str">
        <f>"444 Agronomy Rd."</f>
        <v>444 Agronomy Rd.</v>
      </c>
      <c r="E289" s="1" t="str">
        <f t="shared" si="9"/>
        <v>College Station</v>
      </c>
      <c r="F289" s="1" t="str">
        <f t="shared" si="10"/>
        <v>77843</v>
      </c>
      <c r="G289" t="s">
        <v>9</v>
      </c>
    </row>
    <row r="290" spans="1:7" ht="15" customHeight="1">
      <c r="A290" s="1" t="str">
        <f>"0970"</f>
        <v>0970</v>
      </c>
      <c r="B290" s="1" t="str">
        <f>"PPGM"</f>
        <v>PPGM</v>
      </c>
      <c r="C290" s="1" t="str">
        <f>"PHY PLANT-GROUNDS MAINTENANCE"</f>
        <v>PHY PLANT-GROUNDS MAINTENANCE</v>
      </c>
      <c r="D290" s="1" t="str">
        <f>"470 Agronomy Rd."</f>
        <v>470 Agronomy Rd.</v>
      </c>
      <c r="E290" s="1" t="str">
        <f t="shared" si="9"/>
        <v>College Station</v>
      </c>
      <c r="F290" s="1" t="str">
        <f t="shared" si="10"/>
        <v>77843</v>
      </c>
      <c r="G290" t="s">
        <v>9</v>
      </c>
    </row>
    <row r="291" spans="1:7" ht="15" customHeight="1">
      <c r="A291" s="1" t="str">
        <f>"0971"</f>
        <v>0971</v>
      </c>
      <c r="B291" s="1" t="str">
        <f>"FOOD"</f>
        <v>FOOD</v>
      </c>
      <c r="C291" s="1" t="str">
        <f>"FOOD SERVICES COMMISSARY"</f>
        <v>FOOD SERVICES COMMISSARY</v>
      </c>
      <c r="D291" s="1" t="str">
        <f>"474 Agronomy Rd."</f>
        <v>474 Agronomy Rd.</v>
      </c>
      <c r="E291" s="1" t="str">
        <f t="shared" si="9"/>
        <v>College Station</v>
      </c>
      <c r="F291" s="1" t="str">
        <f t="shared" si="10"/>
        <v>77843</v>
      </c>
      <c r="G291" t="s">
        <v>9</v>
      </c>
    </row>
    <row r="292" spans="1:7" ht="15" customHeight="1">
      <c r="A292" s="1" t="str">
        <f>"0972"</f>
        <v>0972</v>
      </c>
      <c r="B292" s="1" t="str">
        <f>"LARR"</f>
        <v>LARR</v>
      </c>
      <c r="C292" s="1" t="str">
        <f>"LABORATORY ANIMAL CARE BUILDING"</f>
        <v>LABORATORY ANIMAL CARE BUILDING</v>
      </c>
      <c r="D292" s="1" t="str">
        <f>"233 Agronomy Rd."</f>
        <v>233 Agronomy Rd.</v>
      </c>
      <c r="E292" s="1" t="str">
        <f t="shared" si="9"/>
        <v>College Station</v>
      </c>
      <c r="F292" s="1" t="str">
        <f t="shared" si="10"/>
        <v>77843</v>
      </c>
      <c r="G292" t="s">
        <v>9</v>
      </c>
    </row>
    <row r="293" spans="1:7" ht="15" customHeight="1">
      <c r="A293" s="1" t="str">
        <f>"0973"</f>
        <v>0973</v>
      </c>
      <c r="B293" s="1">
        <f>""</f>
      </c>
      <c r="C293" s="1" t="str">
        <f>"CMP-ANIMAL HOUSING UNIT"</f>
        <v>CMP-ANIMAL HOUSING UNIT</v>
      </c>
      <c r="D293" s="1">
        <f>""</f>
      </c>
      <c r="E293" s="1" t="str">
        <f t="shared" si="9"/>
        <v>College Station</v>
      </c>
      <c r="F293" s="1" t="str">
        <f t="shared" si="10"/>
        <v>77843</v>
      </c>
      <c r="G293" t="s">
        <v>8</v>
      </c>
    </row>
    <row r="294" spans="1:7" ht="15" customHeight="1">
      <c r="A294" s="1" t="str">
        <f>"0974"</f>
        <v>0974</v>
      </c>
      <c r="B294" s="1">
        <f>""</f>
      </c>
      <c r="C294" s="1" t="str">
        <f>"CMP-ANIMAL HOUSING UNIT"</f>
        <v>CMP-ANIMAL HOUSING UNIT</v>
      </c>
      <c r="D294" s="1" t="str">
        <f>"680 Turk Rd."</f>
        <v>680 Turk Rd.</v>
      </c>
      <c r="E294" s="1" t="str">
        <f t="shared" si="9"/>
        <v>College Station</v>
      </c>
      <c r="F294" s="1" t="str">
        <f t="shared" si="10"/>
        <v>77843</v>
      </c>
      <c r="G294" t="s">
        <v>9</v>
      </c>
    </row>
    <row r="295" spans="1:7" ht="15" customHeight="1">
      <c r="A295" s="1" t="str">
        <f>"0975"</f>
        <v>0975</v>
      </c>
      <c r="B295" s="1">
        <f>""</f>
      </c>
      <c r="C295" s="1" t="str">
        <f>"CMP-ANIMAL HOUSING UNIT"</f>
        <v>CMP-ANIMAL HOUSING UNIT</v>
      </c>
      <c r="D295" s="1">
        <f>""</f>
      </c>
      <c r="E295" s="1" t="str">
        <f t="shared" si="9"/>
        <v>College Station</v>
      </c>
      <c r="F295" s="1" t="str">
        <f t="shared" si="10"/>
        <v>77843</v>
      </c>
      <c r="G295" t="s">
        <v>8</v>
      </c>
    </row>
    <row r="296" spans="1:7" ht="15" customHeight="1">
      <c r="A296" s="1" t="str">
        <f>"0976"</f>
        <v>0976</v>
      </c>
      <c r="B296" s="1">
        <f>""</f>
      </c>
      <c r="C296" s="1" t="str">
        <f>"CMP-ANIMAL HOUSING UNIT"</f>
        <v>CMP-ANIMAL HOUSING UNIT</v>
      </c>
      <c r="D296" s="1">
        <f>""</f>
      </c>
      <c r="E296" s="1" t="str">
        <f t="shared" si="9"/>
        <v>College Station</v>
      </c>
      <c r="F296" s="1" t="str">
        <f t="shared" si="10"/>
        <v>77843</v>
      </c>
      <c r="G296" t="s">
        <v>8</v>
      </c>
    </row>
    <row r="297" spans="1:7" ht="15" customHeight="1">
      <c r="A297" s="1" t="str">
        <f>"0977"</f>
        <v>0977</v>
      </c>
      <c r="B297" s="1">
        <f>""</f>
      </c>
      <c r="C297" s="1" t="str">
        <f>"CMP-ANIMAL HOUSING UNIT"</f>
        <v>CMP-ANIMAL HOUSING UNIT</v>
      </c>
      <c r="D297" s="1" t="str">
        <f>"676 Turk Rd."</f>
        <v>676 Turk Rd.</v>
      </c>
      <c r="E297" s="1" t="str">
        <f t="shared" si="9"/>
        <v>College Station</v>
      </c>
      <c r="F297" s="1" t="str">
        <f t="shared" si="10"/>
        <v>77843</v>
      </c>
      <c r="G297" t="s">
        <v>9</v>
      </c>
    </row>
    <row r="298" spans="1:7" ht="15" customHeight="1">
      <c r="A298" s="1" t="str">
        <f>"0978"</f>
        <v>0978</v>
      </c>
      <c r="B298" s="1">
        <f>""</f>
      </c>
      <c r="C298" s="1" t="str">
        <f>"CMP-QUARANTINE UNIT"</f>
        <v>CMP-QUARANTINE UNIT</v>
      </c>
      <c r="D298" s="1">
        <f>""</f>
      </c>
      <c r="E298" s="1" t="str">
        <f t="shared" si="9"/>
        <v>College Station</v>
      </c>
      <c r="F298" s="1" t="str">
        <f t="shared" si="10"/>
        <v>77843</v>
      </c>
      <c r="G298" t="s">
        <v>8</v>
      </c>
    </row>
    <row r="299" spans="1:7" ht="15" customHeight="1">
      <c r="A299" s="1" t="str">
        <f>"0979"</f>
        <v>0979</v>
      </c>
      <c r="B299" s="1" t="str">
        <f>"TURF"</f>
        <v>TURF</v>
      </c>
      <c r="C299" s="1" t="str">
        <f>"TURFGRASS FIELD LAB"</f>
        <v>TURFGRASS FIELD LAB</v>
      </c>
      <c r="D299" s="1" t="str">
        <f>"657 Farm Service Rd."</f>
        <v>657 Farm Service Rd.</v>
      </c>
      <c r="E299" s="1" t="str">
        <f t="shared" si="9"/>
        <v>College Station</v>
      </c>
      <c r="F299" s="1" t="str">
        <f t="shared" si="10"/>
        <v>77843</v>
      </c>
      <c r="G299" t="s">
        <v>9</v>
      </c>
    </row>
    <row r="300" spans="1:7" ht="15" customHeight="1">
      <c r="A300" s="1" t="str">
        <f>"0980"</f>
        <v>0980</v>
      </c>
      <c r="B300" s="1">
        <f>""</f>
      </c>
      <c r="C300" s="1" t="str">
        <f>"MURRAY CASE SELLS STORAGE BLDG"</f>
        <v>MURRAY CASE SELLS STORAGE BLDG</v>
      </c>
      <c r="D300" s="1">
        <f>""</f>
      </c>
      <c r="E300" s="1" t="str">
        <f t="shared" si="9"/>
        <v>College Station</v>
      </c>
      <c r="F300" s="1" t="str">
        <f t="shared" si="10"/>
        <v>77843</v>
      </c>
      <c r="G300" t="s">
        <v>8</v>
      </c>
    </row>
    <row r="301" spans="1:7" ht="15" customHeight="1">
      <c r="A301" s="1" t="str">
        <f>"0983"</f>
        <v>0983</v>
      </c>
      <c r="B301" s="1">
        <f>""</f>
      </c>
      <c r="C301" s="1" t="str">
        <f>"TRANS CENTER PAINT STORAGE"</f>
        <v>TRANS CENTER PAINT STORAGE</v>
      </c>
      <c r="D301" s="1">
        <f>""</f>
      </c>
      <c r="E301" s="1" t="str">
        <f t="shared" si="9"/>
        <v>College Station</v>
      </c>
      <c r="F301" s="1" t="str">
        <f t="shared" si="10"/>
        <v>77843</v>
      </c>
      <c r="G301" t="s">
        <v>8</v>
      </c>
    </row>
    <row r="302" spans="1:7" ht="15" customHeight="1">
      <c r="A302" s="1" t="str">
        <f>"0984"</f>
        <v>0984</v>
      </c>
      <c r="B302" s="1">
        <f>""</f>
      </c>
      <c r="C302" s="1" t="str">
        <f>"HORTICULTURE VEGETABLE GREENHOUSE"</f>
        <v>HORTICULTURE VEGETABLE GREENHOUSE</v>
      </c>
      <c r="D302" s="1">
        <f>""</f>
      </c>
      <c r="E302" s="1" t="str">
        <f t="shared" si="9"/>
        <v>College Station</v>
      </c>
      <c r="F302" s="1" t="str">
        <f t="shared" si="10"/>
        <v>77843</v>
      </c>
      <c r="G302" t="s">
        <v>8</v>
      </c>
    </row>
    <row r="303" spans="1:7" ht="15" customHeight="1">
      <c r="A303" s="1" t="str">
        <f>"0985"</f>
        <v>0985</v>
      </c>
      <c r="B303" s="1">
        <f>""</f>
      </c>
      <c r="C303" s="1" t="str">
        <f>"HORTICULTURE VEGETABLE GREENHOUSE"</f>
        <v>HORTICULTURE VEGETABLE GREENHOUSE</v>
      </c>
      <c r="D303" s="1">
        <f>""</f>
      </c>
      <c r="E303" s="1" t="str">
        <f t="shared" si="9"/>
        <v>College Station</v>
      </c>
      <c r="F303" s="1" t="str">
        <f t="shared" si="10"/>
        <v>77843</v>
      </c>
      <c r="G303" t="s">
        <v>8</v>
      </c>
    </row>
    <row r="304" spans="1:7" ht="15" customHeight="1">
      <c r="A304" s="1" t="str">
        <f>"0986"</f>
        <v>0986</v>
      </c>
      <c r="B304" s="1">
        <f>""</f>
      </c>
      <c r="C304" s="1" t="str">
        <f>"HORTICULTURE VEGETABLE GREENHOUSE"</f>
        <v>HORTICULTURE VEGETABLE GREENHOUSE</v>
      </c>
      <c r="D304" s="1">
        <f>""</f>
      </c>
      <c r="E304" s="1" t="str">
        <f t="shared" si="9"/>
        <v>College Station</v>
      </c>
      <c r="F304" s="1" t="str">
        <f t="shared" si="10"/>
        <v>77843</v>
      </c>
      <c r="G304" t="s">
        <v>8</v>
      </c>
    </row>
    <row r="305" spans="1:7" ht="15" customHeight="1">
      <c r="A305" s="1" t="str">
        <f>"0987"</f>
        <v>0987</v>
      </c>
      <c r="B305" s="1">
        <f>""</f>
      </c>
      <c r="C305" s="1" t="str">
        <f>"TVMC-POLE BUILDING"</f>
        <v>TVMC-POLE BUILDING</v>
      </c>
      <c r="D305" s="1">
        <f>""</f>
      </c>
      <c r="E305" s="1" t="str">
        <f t="shared" si="9"/>
        <v>College Station</v>
      </c>
      <c r="F305" s="1" t="str">
        <f t="shared" si="10"/>
        <v>77843</v>
      </c>
      <c r="G305" t="s">
        <v>8</v>
      </c>
    </row>
    <row r="306" spans="1:7" ht="15" customHeight="1">
      <c r="A306" s="1" t="str">
        <f>"0989"</f>
        <v>0989</v>
      </c>
      <c r="B306" s="1" t="str">
        <f>"VMCA"</f>
        <v>VMCA</v>
      </c>
      <c r="C306" s="1" t="str">
        <f>"TVMC-CAGED ANIMALS"</f>
        <v>TVMC-CAGED ANIMALS</v>
      </c>
      <c r="D306" s="1" t="str">
        <f>"601 Turk Rd."</f>
        <v>601 Turk Rd.</v>
      </c>
      <c r="E306" s="1" t="str">
        <f t="shared" si="9"/>
        <v>College Station</v>
      </c>
      <c r="F306" s="1" t="str">
        <f t="shared" si="10"/>
        <v>77843</v>
      </c>
      <c r="G306" t="s">
        <v>9</v>
      </c>
    </row>
    <row r="307" spans="1:7" ht="15" customHeight="1">
      <c r="A307" s="1" t="str">
        <f>"0990"</f>
        <v>0990</v>
      </c>
      <c r="B307" s="1" t="str">
        <f>"PHRL"</f>
        <v>PHRL</v>
      </c>
      <c r="C307" s="1" t="str">
        <f>"POULTRY HEALTH RESEARCH LAB"</f>
        <v>POULTRY HEALTH RESEARCH LAB</v>
      </c>
      <c r="D307" s="1" t="str">
        <f>"603 Turk Rd."</f>
        <v>603 Turk Rd.</v>
      </c>
      <c r="E307" s="1" t="str">
        <f t="shared" si="9"/>
        <v>College Station</v>
      </c>
      <c r="F307" s="1" t="str">
        <f t="shared" si="10"/>
        <v>77843</v>
      </c>
      <c r="G307" t="s">
        <v>9</v>
      </c>
    </row>
    <row r="308" spans="1:7" ht="15" customHeight="1">
      <c r="A308" s="1" t="str">
        <f>"0991"</f>
        <v>0991</v>
      </c>
      <c r="B308" s="1">
        <f>""</f>
      </c>
      <c r="C308" s="1" t="str">
        <f>"VMP SHOP"</f>
        <v>VMP SHOP</v>
      </c>
      <c r="D308" s="1" t="str">
        <f>"633 Turk Rd."</f>
        <v>633 Turk Rd.</v>
      </c>
      <c r="E308" s="1" t="str">
        <f t="shared" si="9"/>
        <v>College Station</v>
      </c>
      <c r="F308" s="1" t="str">
        <f t="shared" si="10"/>
        <v>77843</v>
      </c>
      <c r="G308" t="s">
        <v>9</v>
      </c>
    </row>
    <row r="309" spans="1:7" ht="15" customHeight="1">
      <c r="A309" s="1" t="str">
        <f>"0992"</f>
        <v>0992</v>
      </c>
      <c r="B309" s="1">
        <f>""</f>
      </c>
      <c r="C309" s="1" t="str">
        <f>"TVMC-EXPERIMENTAL ANIMAL BLDG"</f>
        <v>TVMC-EXPERIMENTAL ANIMAL BLDG</v>
      </c>
      <c r="D309" s="1" t="str">
        <f>"605 Turk Rd."</f>
        <v>605 Turk Rd.</v>
      </c>
      <c r="E309" s="1" t="str">
        <f t="shared" si="9"/>
        <v>College Station</v>
      </c>
      <c r="F309" s="1" t="str">
        <f t="shared" si="10"/>
        <v>77843</v>
      </c>
      <c r="G309" t="s">
        <v>9</v>
      </c>
    </row>
    <row r="310" spans="1:7" ht="15" customHeight="1">
      <c r="A310" s="1" t="str">
        <f>"0993"</f>
        <v>0993</v>
      </c>
      <c r="B310" s="1">
        <f>""</f>
      </c>
      <c r="C310" s="1" t="str">
        <f>"TVMC-BARN"</f>
        <v>TVMC-BARN</v>
      </c>
      <c r="D310" s="1">
        <f>""</f>
      </c>
      <c r="E310" s="1" t="str">
        <f t="shared" si="9"/>
        <v>College Station</v>
      </c>
      <c r="F310" s="1" t="str">
        <f t="shared" si="10"/>
        <v>77843</v>
      </c>
      <c r="G310" t="s">
        <v>8</v>
      </c>
    </row>
    <row r="311" spans="1:7" ht="15" customHeight="1">
      <c r="A311" s="1" t="str">
        <f>"0994"</f>
        <v>0994</v>
      </c>
      <c r="B311" s="1">
        <f>""</f>
      </c>
      <c r="C311" s="1" t="str">
        <f>"TVMC-REPRODUCTION BARN"</f>
        <v>TVMC-REPRODUCTION BARN</v>
      </c>
      <c r="D311" s="1" t="str">
        <f>"527 Turk Rd."</f>
        <v>527 Turk Rd.</v>
      </c>
      <c r="E311" s="1" t="str">
        <f t="shared" si="9"/>
        <v>College Station</v>
      </c>
      <c r="F311" s="1" t="str">
        <f t="shared" si="10"/>
        <v>77843</v>
      </c>
      <c r="G311" t="s">
        <v>9</v>
      </c>
    </row>
    <row r="312" spans="1:7" ht="15" customHeight="1">
      <c r="A312" s="1" t="str">
        <f>"0995"</f>
        <v>0995</v>
      </c>
      <c r="B312" s="1">
        <f>""</f>
      </c>
      <c r="C312" s="1" t="str">
        <f>"WATER DISTRIBUTION PUMP STATION NO. 2"</f>
        <v>WATER DISTRIBUTION PUMP STATION NO. 2</v>
      </c>
      <c r="D312" s="1" t="str">
        <f>"2410 F &amp; B Rd."</f>
        <v>2410 F &amp; B Rd.</v>
      </c>
      <c r="E312" s="1" t="str">
        <f t="shared" si="9"/>
        <v>College Station</v>
      </c>
      <c r="F312" s="1" t="str">
        <f t="shared" si="10"/>
        <v>77843</v>
      </c>
      <c r="G312" t="s">
        <v>9</v>
      </c>
    </row>
    <row r="313" spans="1:7" ht="15" customHeight="1">
      <c r="A313" s="1" t="str">
        <f>"0996"</f>
        <v>0996</v>
      </c>
      <c r="B313" s="1">
        <f>""</f>
      </c>
      <c r="C313" s="1" t="str">
        <f>"OIL TANKS BOILER HOUSE"</f>
        <v>OIL TANKS BOILER HOUSE</v>
      </c>
      <c r="D313" s="1">
        <f>""</f>
      </c>
      <c r="E313" s="1" t="str">
        <f t="shared" si="9"/>
        <v>College Station</v>
      </c>
      <c r="F313" s="1" t="str">
        <f t="shared" si="10"/>
        <v>77843</v>
      </c>
      <c r="G313" t="s">
        <v>8</v>
      </c>
    </row>
    <row r="314" spans="1:7" ht="15" customHeight="1">
      <c r="A314" s="1" t="str">
        <f>"0997"</f>
        <v>0997</v>
      </c>
      <c r="B314" s="1" t="str">
        <f>"TICK"</f>
        <v>TICK</v>
      </c>
      <c r="C314" s="1" t="str">
        <f>"TICK RESEARCH FACILITY"</f>
        <v>TICK RESEARCH FACILITY</v>
      </c>
      <c r="D314" s="1">
        <f>""</f>
      </c>
      <c r="E314" s="1" t="str">
        <f t="shared" si="9"/>
        <v>College Station</v>
      </c>
      <c r="F314" s="1" t="str">
        <f t="shared" si="10"/>
        <v>77843</v>
      </c>
      <c r="G314" t="s">
        <v>8</v>
      </c>
    </row>
    <row r="315" spans="1:7" ht="15" customHeight="1">
      <c r="A315" s="1" t="str">
        <f>"0BR1"</f>
        <v>0BR1</v>
      </c>
      <c r="B315" s="1">
        <f>""</f>
      </c>
      <c r="C315" s="1" t="str">
        <f>"BRYAN CIS SPACE"</f>
        <v>BRYAN CIS SPACE</v>
      </c>
      <c r="D315" s="1">
        <f>""</f>
      </c>
      <c r="E315" s="1" t="str">
        <f t="shared" si="9"/>
        <v>College Station</v>
      </c>
      <c r="F315" s="1" t="str">
        <f t="shared" si="10"/>
        <v>77843</v>
      </c>
      <c r="G315" t="s">
        <v>8</v>
      </c>
    </row>
    <row r="316" spans="1:7" ht="15" customHeight="1">
      <c r="A316" s="1" t="str">
        <f>"0BR2"</f>
        <v>0BR2</v>
      </c>
      <c r="B316" s="1">
        <f>""</f>
      </c>
      <c r="C316" s="1" t="str">
        <f>"FIBER TOWN"</f>
        <v>FIBER TOWN</v>
      </c>
      <c r="D316" s="1">
        <f>""</f>
      </c>
      <c r="E316" s="1" t="str">
        <f t="shared" si="9"/>
        <v>College Station</v>
      </c>
      <c r="F316" s="1" t="str">
        <f>"77803"</f>
        <v>77803</v>
      </c>
      <c r="G316" t="s">
        <v>8</v>
      </c>
    </row>
    <row r="317" spans="1:7" ht="15" customHeight="1">
      <c r="A317" s="1" t="str">
        <f>"0CS1"</f>
        <v>0CS1</v>
      </c>
      <c r="B317" s="1">
        <f>""</f>
      </c>
      <c r="C317" s="1" t="str">
        <f>"CITY OF COLLEGE STATION ADMIN BLDG"</f>
        <v>CITY OF COLLEGE STATION ADMIN BLDG</v>
      </c>
      <c r="D317" s="1">
        <f>""</f>
      </c>
      <c r="E317" s="1" t="str">
        <f t="shared" si="9"/>
        <v>College Station</v>
      </c>
      <c r="F317" s="1" t="str">
        <f aca="true" t="shared" si="11" ref="F317:F380">"77843"</f>
        <v>77843</v>
      </c>
      <c r="G317" t="s">
        <v>8</v>
      </c>
    </row>
    <row r="318" spans="1:7" ht="15" customHeight="1">
      <c r="A318" s="1" t="str">
        <f>"1000"</f>
        <v>1000</v>
      </c>
      <c r="B318" s="1">
        <f>""</f>
      </c>
      <c r="C318" s="1" t="str">
        <f>"FARM SERVICE OFFICE"</f>
        <v>FARM SERVICE OFFICE</v>
      </c>
      <c r="D318" s="1" t="str">
        <f>"652 Farm Service Rd."</f>
        <v>652 Farm Service Rd.</v>
      </c>
      <c r="E318" s="1" t="str">
        <f t="shared" si="9"/>
        <v>College Station</v>
      </c>
      <c r="F318" s="1" t="str">
        <f t="shared" si="11"/>
        <v>77843</v>
      </c>
      <c r="G318" t="s">
        <v>9</v>
      </c>
    </row>
    <row r="319" spans="1:7" ht="15" customHeight="1">
      <c r="A319" s="1" t="str">
        <f>"1001"</f>
        <v>1001</v>
      </c>
      <c r="B319" s="1">
        <f>""</f>
      </c>
      <c r="C319" s="1" t="str">
        <f>"FARM SERVICE IMPLEMENT #1"</f>
        <v>FARM SERVICE IMPLEMENT #1</v>
      </c>
      <c r="D319" s="1">
        <f>""</f>
      </c>
      <c r="E319" s="1" t="str">
        <f t="shared" si="9"/>
        <v>College Station</v>
      </c>
      <c r="F319" s="1" t="str">
        <f t="shared" si="11"/>
        <v>77843</v>
      </c>
      <c r="G319" t="s">
        <v>8</v>
      </c>
    </row>
    <row r="320" spans="1:7" ht="15" customHeight="1">
      <c r="A320" s="1" t="str">
        <f>"1002"</f>
        <v>1002</v>
      </c>
      <c r="B320" s="1">
        <f>""</f>
      </c>
      <c r="C320" s="1" t="str">
        <f>"FARM SERVICE IMPLEMENT #2"</f>
        <v>FARM SERVICE IMPLEMENT #2</v>
      </c>
      <c r="D320" s="1">
        <f>""</f>
      </c>
      <c r="E320" s="1" t="str">
        <f t="shared" si="9"/>
        <v>College Station</v>
      </c>
      <c r="F320" s="1" t="str">
        <f t="shared" si="11"/>
        <v>77843</v>
      </c>
      <c r="G320" t="s">
        <v>8</v>
      </c>
    </row>
    <row r="321" spans="1:7" ht="15" customHeight="1">
      <c r="A321" s="1" t="str">
        <f>"1003"</f>
        <v>1003</v>
      </c>
      <c r="B321" s="1">
        <f>""</f>
      </c>
      <c r="C321" s="1" t="str">
        <f>"FARM SERVICE SHOP"</f>
        <v>FARM SERVICE SHOP</v>
      </c>
      <c r="D321" s="1" t="str">
        <f>"655 Farm Service Rd."</f>
        <v>655 Farm Service Rd.</v>
      </c>
      <c r="E321" s="1" t="str">
        <f t="shared" si="9"/>
        <v>College Station</v>
      </c>
      <c r="F321" s="1" t="str">
        <f t="shared" si="11"/>
        <v>77843</v>
      </c>
      <c r="G321" t="s">
        <v>9</v>
      </c>
    </row>
    <row r="322" spans="1:7" ht="15" customHeight="1">
      <c r="A322" s="1" t="str">
        <f>"1005"</f>
        <v>1005</v>
      </c>
      <c r="B322" s="1">
        <f>""</f>
      </c>
      <c r="C322" s="1" t="str">
        <f>"FARM SERVICE STORAGE 2"</f>
        <v>FARM SERVICE STORAGE 2</v>
      </c>
      <c r="D322" s="1">
        <f>""</f>
      </c>
      <c r="E322" s="1" t="str">
        <f aca="true" t="shared" si="12" ref="E322:E385">"College Station"</f>
        <v>College Station</v>
      </c>
      <c r="F322" s="1" t="str">
        <f t="shared" si="11"/>
        <v>77843</v>
      </c>
      <c r="G322" t="s">
        <v>8</v>
      </c>
    </row>
    <row r="323" spans="1:7" ht="15" customHeight="1">
      <c r="A323" s="1" t="str">
        <f>"1008"</f>
        <v>1008</v>
      </c>
      <c r="B323" s="1" t="str">
        <f>"VMB3"</f>
        <v>VMB3</v>
      </c>
      <c r="C323" s="1" t="str">
        <f>"TVMC-BARN NO. 3"</f>
        <v>TVMC-BARN NO. 3</v>
      </c>
      <c r="D323" s="1" t="str">
        <f>"645 Turk Rd."</f>
        <v>645 Turk Rd.</v>
      </c>
      <c r="E323" s="1" t="str">
        <f t="shared" si="12"/>
        <v>College Station</v>
      </c>
      <c r="F323" s="1" t="str">
        <f t="shared" si="11"/>
        <v>77843</v>
      </c>
      <c r="G323" t="s">
        <v>9</v>
      </c>
    </row>
    <row r="324" spans="1:7" ht="15" customHeight="1">
      <c r="A324" s="1" t="str">
        <f>"1010"</f>
        <v>1010</v>
      </c>
      <c r="B324" s="1" t="str">
        <f>"VIV2"</f>
        <v>VIV2</v>
      </c>
      <c r="C324" s="1" t="str">
        <f>"TVMC-SMALL ANIMAL RESEARCH BLDG"</f>
        <v>TVMC-SMALL ANIMAL RESEARCH BLDG</v>
      </c>
      <c r="D324" s="1" t="str">
        <f>"157 Agronomy Rd."</f>
        <v>157 Agronomy Rd.</v>
      </c>
      <c r="E324" s="1" t="str">
        <f t="shared" si="12"/>
        <v>College Station</v>
      </c>
      <c r="F324" s="1" t="str">
        <f t="shared" si="11"/>
        <v>77843</v>
      </c>
      <c r="G324" t="s">
        <v>9</v>
      </c>
    </row>
    <row r="325" spans="1:7" ht="15" customHeight="1">
      <c r="A325" s="1" t="str">
        <f>"1011"</f>
        <v>1011</v>
      </c>
      <c r="B325" s="1">
        <f>""</f>
      </c>
      <c r="C325" s="1" t="str">
        <f>"HORTICULTURE SHOP AND GARAGE"</f>
        <v>HORTICULTURE SHOP AND GARAGE</v>
      </c>
      <c r="D325" s="1" t="str">
        <f>"265 Adriance Lab Rd."</f>
        <v>265 Adriance Lab Rd.</v>
      </c>
      <c r="E325" s="1" t="str">
        <f t="shared" si="12"/>
        <v>College Station</v>
      </c>
      <c r="F325" s="1" t="str">
        <f t="shared" si="11"/>
        <v>77843</v>
      </c>
      <c r="G325" t="s">
        <v>9</v>
      </c>
    </row>
    <row r="326" spans="1:7" ht="15" customHeight="1">
      <c r="A326" s="1" t="str">
        <f>"1020"</f>
        <v>1020</v>
      </c>
      <c r="B326" s="1" t="str">
        <f>"VIV3"</f>
        <v>VIV3</v>
      </c>
      <c r="C326" s="1" t="str">
        <f>"VIVARIUM III"</f>
        <v>VIVARIUM III</v>
      </c>
      <c r="D326" s="1" t="str">
        <f>"161 Agronomy Rd."</f>
        <v>161 Agronomy Rd.</v>
      </c>
      <c r="E326" s="1" t="str">
        <f t="shared" si="12"/>
        <v>College Station</v>
      </c>
      <c r="F326" s="1" t="str">
        <f t="shared" si="11"/>
        <v>77843</v>
      </c>
      <c r="G326" t="s">
        <v>9</v>
      </c>
    </row>
    <row r="327" spans="1:7" ht="15" customHeight="1">
      <c r="A327" s="1" t="str">
        <f>"1026"</f>
        <v>1026</v>
      </c>
      <c r="B327" s="1" t="str">
        <f>"VMA"</f>
        <v>VMA</v>
      </c>
      <c r="C327" s="1" t="str">
        <f>"VETERINARY MEDICINE ADMINISTRATION"</f>
        <v>VETERINARY MEDICINE ADMINISTRATION</v>
      </c>
      <c r="D327" s="1" t="str">
        <f>"402 Raymond Stotzer Pw."</f>
        <v>402 Raymond Stotzer Pw.</v>
      </c>
      <c r="E327" s="1" t="str">
        <f t="shared" si="12"/>
        <v>College Station</v>
      </c>
      <c r="F327" s="1" t="str">
        <f t="shared" si="11"/>
        <v>77843</v>
      </c>
      <c r="G327" t="s">
        <v>9</v>
      </c>
    </row>
    <row r="328" spans="1:7" ht="15" customHeight="1">
      <c r="A328" s="1" t="str">
        <f>"1027"</f>
        <v>1027</v>
      </c>
      <c r="B328" s="1" t="str">
        <f>"NFFL"</f>
        <v>NFFL</v>
      </c>
      <c r="C328" s="1" t="str">
        <f>"NURSERY FLORAL FIELD LABORATORY"</f>
        <v>NURSERY FLORAL FIELD LABORATORY</v>
      </c>
      <c r="D328" s="1" t="str">
        <f>"566 Floriculture Rd."</f>
        <v>566 Floriculture Rd.</v>
      </c>
      <c r="E328" s="1" t="str">
        <f t="shared" si="12"/>
        <v>College Station</v>
      </c>
      <c r="F328" s="1" t="str">
        <f t="shared" si="11"/>
        <v>77843</v>
      </c>
      <c r="G328" t="s">
        <v>9</v>
      </c>
    </row>
    <row r="329" spans="1:7" ht="15" customHeight="1">
      <c r="A329" s="1" t="str">
        <f>"1029"</f>
        <v>1029</v>
      </c>
      <c r="B329" s="1">
        <f>""</f>
      </c>
      <c r="C329" s="1" t="str">
        <f>"AGRONOMY IMPLEMENT STORAGE"</f>
        <v>AGRONOMY IMPLEMENT STORAGE</v>
      </c>
      <c r="D329" s="1">
        <f>""</f>
      </c>
      <c r="E329" s="1" t="str">
        <f t="shared" si="12"/>
        <v>College Station</v>
      </c>
      <c r="F329" s="1" t="str">
        <f t="shared" si="11"/>
        <v>77843</v>
      </c>
      <c r="G329" t="s">
        <v>8</v>
      </c>
    </row>
    <row r="330" spans="1:7" ht="15" customHeight="1">
      <c r="A330" s="1" t="str">
        <f>"1030"</f>
        <v>1030</v>
      </c>
      <c r="B330" s="1" t="str">
        <f>"AESH"</f>
        <v>AESH</v>
      </c>
      <c r="C330" s="1" t="str">
        <f>"AG ENGR RES LAB &amp; SHOP"</f>
        <v>AG ENGR RES LAB &amp; SHOP</v>
      </c>
      <c r="D330" s="1" t="str">
        <f>"377 Olsen Bl."</f>
        <v>377 Olsen Bl.</v>
      </c>
      <c r="E330" s="1" t="str">
        <f t="shared" si="12"/>
        <v>College Station</v>
      </c>
      <c r="F330" s="1" t="str">
        <f t="shared" si="11"/>
        <v>77843</v>
      </c>
      <c r="G330" t="s">
        <v>9</v>
      </c>
    </row>
    <row r="331" spans="1:7" ht="15" customHeight="1">
      <c r="A331" s="1" t="str">
        <f>"1034"</f>
        <v>1034</v>
      </c>
      <c r="B331" s="1" t="str">
        <f>"AEPM"</f>
        <v>AEPM</v>
      </c>
      <c r="C331" s="1" t="str">
        <f>"AG ENGINEERING POWER &amp; MACHINERY BUILDING"</f>
        <v>AG ENGINEERING POWER &amp; MACHINERY BUILDING</v>
      </c>
      <c r="D331" s="1" t="str">
        <f>"379 Olsen Bl."</f>
        <v>379 Olsen Bl.</v>
      </c>
      <c r="E331" s="1" t="str">
        <f t="shared" si="12"/>
        <v>College Station</v>
      </c>
      <c r="F331" s="1" t="str">
        <f t="shared" si="11"/>
        <v>77843</v>
      </c>
      <c r="G331" t="s">
        <v>9</v>
      </c>
    </row>
    <row r="332" spans="1:7" ht="15" customHeight="1">
      <c r="A332" s="1" t="str">
        <f>"1040"</f>
        <v>1040</v>
      </c>
      <c r="B332" s="1" t="str">
        <f>"CPAT"</f>
        <v>CPAT</v>
      </c>
      <c r="C332" s="1" t="str">
        <f>"CARDIOVASCULAR PATHOLOGY LABORATORY"</f>
        <v>CARDIOVASCULAR PATHOLOGY LABORATORY</v>
      </c>
      <c r="D332" s="1" t="str">
        <f>"640 Turk Rd."</f>
        <v>640 Turk Rd.</v>
      </c>
      <c r="E332" s="1" t="str">
        <f t="shared" si="12"/>
        <v>College Station</v>
      </c>
      <c r="F332" s="1" t="str">
        <f t="shared" si="11"/>
        <v>77843</v>
      </c>
      <c r="G332" t="s">
        <v>9</v>
      </c>
    </row>
    <row r="333" spans="1:7" ht="15" customHeight="1">
      <c r="A333" s="1" t="str">
        <f>"1041"</f>
        <v>1041</v>
      </c>
      <c r="B333" s="1" t="str">
        <f>"VMDL"</f>
        <v>VMDL</v>
      </c>
      <c r="C333" s="1" t="str">
        <f>"TEXAS VET MED DIAGNOSTIC LAB"</f>
        <v>TEXAS VET MED DIAGNOSTIC LAB</v>
      </c>
      <c r="D333" s="1" t="str">
        <f>"188 Sippel Rd."</f>
        <v>188 Sippel Rd.</v>
      </c>
      <c r="E333" s="1" t="str">
        <f t="shared" si="12"/>
        <v>College Station</v>
      </c>
      <c r="F333" s="1" t="str">
        <f t="shared" si="11"/>
        <v>77843</v>
      </c>
      <c r="G333" t="s">
        <v>9</v>
      </c>
    </row>
    <row r="334" spans="1:7" ht="15" customHeight="1">
      <c r="A334" s="1" t="str">
        <f>"1042"</f>
        <v>1042</v>
      </c>
      <c r="B334" s="1" t="str">
        <f>"FSLB"</f>
        <v>FSLB</v>
      </c>
      <c r="C334" s="1" t="str">
        <f>"FOREST SCIENCE LABORATORY BUILDING"</f>
        <v>FOREST SCIENCE LABORATORY BUILDING</v>
      </c>
      <c r="D334" s="1" t="str">
        <f>"242 Agronomy Rd."</f>
        <v>242 Agronomy Rd.</v>
      </c>
      <c r="E334" s="1" t="str">
        <f t="shared" si="12"/>
        <v>College Station</v>
      </c>
      <c r="F334" s="1" t="str">
        <f t="shared" si="11"/>
        <v>77843</v>
      </c>
      <c r="G334" t="s">
        <v>9</v>
      </c>
    </row>
    <row r="335" spans="1:7" ht="15" customHeight="1">
      <c r="A335" s="1" t="str">
        <f>"1043"</f>
        <v>1043</v>
      </c>
      <c r="B335" s="1">
        <f>""</f>
      </c>
      <c r="C335" s="1" t="str">
        <f>"MOSQUITO RESEARCH LAB"</f>
        <v>MOSQUITO RESEARCH LAB</v>
      </c>
      <c r="D335" s="1" t="str">
        <f>"172 Agronomy Rd."</f>
        <v>172 Agronomy Rd.</v>
      </c>
      <c r="E335" s="1" t="str">
        <f t="shared" si="12"/>
        <v>College Station</v>
      </c>
      <c r="F335" s="1" t="str">
        <f t="shared" si="11"/>
        <v>77843</v>
      </c>
      <c r="G335" t="s">
        <v>9</v>
      </c>
    </row>
    <row r="336" spans="1:7" ht="15" customHeight="1">
      <c r="A336" s="1" t="str">
        <f>"1044"</f>
        <v>1044</v>
      </c>
      <c r="B336" s="1">
        <f>""</f>
      </c>
      <c r="C336" s="1" t="str">
        <f>"TVMC-POULTRY RESEARCH"</f>
        <v>TVMC-POULTRY RESEARCH</v>
      </c>
      <c r="D336" s="1" t="str">
        <f>"1039 Turk Rd."</f>
        <v>1039 Turk Rd.</v>
      </c>
      <c r="E336" s="1" t="str">
        <f t="shared" si="12"/>
        <v>College Station</v>
      </c>
      <c r="F336" s="1" t="str">
        <f t="shared" si="11"/>
        <v>77843</v>
      </c>
      <c r="G336" t="s">
        <v>9</v>
      </c>
    </row>
    <row r="337" spans="1:7" ht="15" customHeight="1">
      <c r="A337" s="1" t="str">
        <f>"1045"</f>
        <v>1045</v>
      </c>
      <c r="B337" s="1">
        <f>""</f>
      </c>
      <c r="C337" s="1" t="str">
        <f>"USDA GREENHOUSE 1"</f>
        <v>USDA GREENHOUSE 1</v>
      </c>
      <c r="D337" s="1" t="str">
        <f>"707 Agronomy Rd."</f>
        <v>707 Agronomy Rd.</v>
      </c>
      <c r="E337" s="1" t="str">
        <f t="shared" si="12"/>
        <v>College Station</v>
      </c>
      <c r="F337" s="1" t="str">
        <f t="shared" si="11"/>
        <v>77843</v>
      </c>
      <c r="G337" t="s">
        <v>9</v>
      </c>
    </row>
    <row r="338" spans="1:7" ht="15" customHeight="1">
      <c r="A338" s="1" t="str">
        <f>"1047"</f>
        <v>1047</v>
      </c>
      <c r="B338" s="1">
        <f>""</f>
      </c>
      <c r="C338" s="1" t="str">
        <f>"VIRUS-VECTOR RESEARCH LAB"</f>
        <v>VIRUS-VECTOR RESEARCH LAB</v>
      </c>
      <c r="D338" s="1" t="str">
        <f>"657 Agronomy Rd."</f>
        <v>657 Agronomy Rd.</v>
      </c>
      <c r="E338" s="1" t="str">
        <f t="shared" si="12"/>
        <v>College Station</v>
      </c>
      <c r="F338" s="1" t="str">
        <f t="shared" si="11"/>
        <v>77843</v>
      </c>
      <c r="G338" t="s">
        <v>9</v>
      </c>
    </row>
    <row r="339" spans="1:7" ht="15" customHeight="1">
      <c r="A339" s="1" t="str">
        <f>"1049"</f>
        <v>1049</v>
      </c>
      <c r="B339" s="1">
        <f>""</f>
      </c>
      <c r="C339" s="1" t="str">
        <f>"USDA GREENHOUSE 2"</f>
        <v>USDA GREENHOUSE 2</v>
      </c>
      <c r="D339" s="1">
        <f>""</f>
      </c>
      <c r="E339" s="1" t="str">
        <f t="shared" si="12"/>
        <v>College Station</v>
      </c>
      <c r="F339" s="1" t="str">
        <f t="shared" si="11"/>
        <v>77843</v>
      </c>
      <c r="G339" t="s">
        <v>8</v>
      </c>
    </row>
    <row r="340" spans="1:7" ht="15" customHeight="1">
      <c r="A340" s="1" t="str">
        <f>"1050"</f>
        <v>1050</v>
      </c>
      <c r="B340" s="1">
        <f>""</f>
      </c>
      <c r="C340" s="1" t="str">
        <f>"CUSE-RESEARCH LABS"</f>
        <v>CUSE-RESEARCH LABS</v>
      </c>
      <c r="D340" s="1" t="str">
        <f>"166 Agronomy Rd."</f>
        <v>166 Agronomy Rd.</v>
      </c>
      <c r="E340" s="1" t="str">
        <f t="shared" si="12"/>
        <v>College Station</v>
      </c>
      <c r="F340" s="1" t="str">
        <f t="shared" si="11"/>
        <v>77843</v>
      </c>
      <c r="G340" t="s">
        <v>9</v>
      </c>
    </row>
    <row r="341" spans="1:7" ht="15" customHeight="1">
      <c r="A341" s="1" t="str">
        <f>"1051"</f>
        <v>1051</v>
      </c>
      <c r="B341" s="1" t="str">
        <f>"CUSE"</f>
        <v>CUSE</v>
      </c>
      <c r="C341" s="1" t="str">
        <f>"CENTER FOR URBAN AND STRUCTURAL ENTOMOLOGY (CUSE)"</f>
        <v>CENTER FOR URBAN AND STRUCTURAL ENTOMOLOGY (CUSE)</v>
      </c>
      <c r="D341" s="1" t="str">
        <f>"160 Agronomy Rd."</f>
        <v>160 Agronomy Rd.</v>
      </c>
      <c r="E341" s="1" t="str">
        <f t="shared" si="12"/>
        <v>College Station</v>
      </c>
      <c r="F341" s="1" t="str">
        <f t="shared" si="11"/>
        <v>77843</v>
      </c>
      <c r="G341" t="s">
        <v>9</v>
      </c>
    </row>
    <row r="342" spans="1:7" ht="15" customHeight="1">
      <c r="A342" s="1" t="str">
        <f>"1052"</f>
        <v>1052</v>
      </c>
      <c r="B342" s="1">
        <f>""</f>
      </c>
      <c r="C342" s="1" t="str">
        <f>"WEED SCIENCE FIELD LAB"</f>
        <v>WEED SCIENCE FIELD LAB</v>
      </c>
      <c r="D342" s="1">
        <f>""</f>
      </c>
      <c r="E342" s="1" t="str">
        <f t="shared" si="12"/>
        <v>College Station</v>
      </c>
      <c r="F342" s="1" t="str">
        <f t="shared" si="11"/>
        <v>77843</v>
      </c>
      <c r="G342" t="s">
        <v>8</v>
      </c>
    </row>
    <row r="343" spans="1:7" ht="15" customHeight="1">
      <c r="A343" s="1" t="str">
        <f>"1054"</f>
        <v>1054</v>
      </c>
      <c r="B343" s="1">
        <f>""</f>
      </c>
      <c r="C343" s="1" t="str">
        <f>"FORAGE AND TURF GREENHOUSE"</f>
        <v>FORAGE AND TURF GREENHOUSE</v>
      </c>
      <c r="D343" s="1">
        <f>""</f>
      </c>
      <c r="E343" s="1" t="str">
        <f t="shared" si="12"/>
        <v>College Station</v>
      </c>
      <c r="F343" s="1" t="str">
        <f t="shared" si="11"/>
        <v>77843</v>
      </c>
      <c r="G343" t="s">
        <v>8</v>
      </c>
    </row>
    <row r="344" spans="1:7" ht="15" customHeight="1">
      <c r="A344" s="1" t="str">
        <f>"1056"</f>
        <v>1056</v>
      </c>
      <c r="B344" s="1">
        <f>""</f>
      </c>
      <c r="C344" s="1" t="str">
        <f>"SOIL &amp; CROP SCI GREENHOUSE"</f>
        <v>SOIL &amp; CROP SCI GREENHOUSE</v>
      </c>
      <c r="D344" s="1">
        <f>""</f>
      </c>
      <c r="E344" s="1" t="str">
        <f t="shared" si="12"/>
        <v>College Station</v>
      </c>
      <c r="F344" s="1" t="str">
        <f t="shared" si="11"/>
        <v>77843</v>
      </c>
      <c r="G344" t="s">
        <v>8</v>
      </c>
    </row>
    <row r="345" spans="1:7" ht="15" customHeight="1">
      <c r="A345" s="1" t="str">
        <f>"1057"</f>
        <v>1057</v>
      </c>
      <c r="B345" s="1">
        <f>""</f>
      </c>
      <c r="C345" s="1" t="str">
        <f>"SOIL &amp; CROP SCI GREENHOUSE"</f>
        <v>SOIL &amp; CROP SCI GREENHOUSE</v>
      </c>
      <c r="D345" s="1">
        <f>""</f>
      </c>
      <c r="E345" s="1" t="str">
        <f t="shared" si="12"/>
        <v>College Station</v>
      </c>
      <c r="F345" s="1" t="str">
        <f t="shared" si="11"/>
        <v>77843</v>
      </c>
      <c r="G345" t="s">
        <v>8</v>
      </c>
    </row>
    <row r="346" spans="1:7" ht="15" customHeight="1">
      <c r="A346" s="1" t="str">
        <f>"1058"</f>
        <v>1058</v>
      </c>
      <c r="B346" s="1">
        <f>""</f>
      </c>
      <c r="C346" s="1" t="str">
        <f>"SOIL &amp; CROP SCI GREENHOUSE"</f>
        <v>SOIL &amp; CROP SCI GREENHOUSE</v>
      </c>
      <c r="D346" s="1">
        <f>""</f>
      </c>
      <c r="E346" s="1" t="str">
        <f t="shared" si="12"/>
        <v>College Station</v>
      </c>
      <c r="F346" s="1" t="str">
        <f t="shared" si="11"/>
        <v>77843</v>
      </c>
      <c r="G346" t="s">
        <v>8</v>
      </c>
    </row>
    <row r="347" spans="1:7" ht="15" customHeight="1">
      <c r="A347" s="1" t="str">
        <f>"1059"</f>
        <v>1059</v>
      </c>
      <c r="B347" s="1">
        <f>""</f>
      </c>
      <c r="C347" s="1" t="str">
        <f>"SOIL &amp; CROP SCI GREENHOUSE"</f>
        <v>SOIL &amp; CROP SCI GREENHOUSE</v>
      </c>
      <c r="D347" s="1">
        <f>""</f>
      </c>
      <c r="E347" s="1" t="str">
        <f t="shared" si="12"/>
        <v>College Station</v>
      </c>
      <c r="F347" s="1" t="str">
        <f t="shared" si="11"/>
        <v>77843</v>
      </c>
      <c r="G347" t="s">
        <v>8</v>
      </c>
    </row>
    <row r="348" spans="1:7" ht="15" customHeight="1">
      <c r="A348" s="1" t="str">
        <f>"1060"</f>
        <v>1060</v>
      </c>
      <c r="B348" s="1">
        <f>""</f>
      </c>
      <c r="C348" s="1" t="str">
        <f>"GREENHOUSE-SMALL GRAINS"</f>
        <v>GREENHOUSE-SMALL GRAINS</v>
      </c>
      <c r="D348" s="1">
        <f>""</f>
      </c>
      <c r="E348" s="1" t="str">
        <f t="shared" si="12"/>
        <v>College Station</v>
      </c>
      <c r="F348" s="1" t="str">
        <f t="shared" si="11"/>
        <v>77843</v>
      </c>
      <c r="G348" t="s">
        <v>8</v>
      </c>
    </row>
    <row r="349" spans="1:7" ht="15" customHeight="1">
      <c r="A349" s="1" t="str">
        <f>"1063"</f>
        <v>1063</v>
      </c>
      <c r="B349" s="1">
        <f>""</f>
      </c>
      <c r="C349" s="1" t="str">
        <f>"GREENHOUSE-COTTON TAXONOMY"</f>
        <v>GREENHOUSE-COTTON TAXONOMY</v>
      </c>
      <c r="D349" s="1">
        <f>""</f>
      </c>
      <c r="E349" s="1" t="str">
        <f t="shared" si="12"/>
        <v>College Station</v>
      </c>
      <c r="F349" s="1" t="str">
        <f t="shared" si="11"/>
        <v>77843</v>
      </c>
      <c r="G349" t="s">
        <v>8</v>
      </c>
    </row>
    <row r="350" spans="1:7" ht="15" customHeight="1">
      <c r="A350" s="1" t="str">
        <f>"1064"</f>
        <v>1064</v>
      </c>
      <c r="B350" s="1">
        <f>""</f>
      </c>
      <c r="C350" s="1" t="str">
        <f>"GREENHOUSE"</f>
        <v>GREENHOUSE</v>
      </c>
      <c r="D350" s="1">
        <f>""</f>
      </c>
      <c r="E350" s="1" t="str">
        <f t="shared" si="12"/>
        <v>College Station</v>
      </c>
      <c r="F350" s="1" t="str">
        <f t="shared" si="11"/>
        <v>77843</v>
      </c>
      <c r="G350" t="s">
        <v>8</v>
      </c>
    </row>
    <row r="351" spans="1:7" ht="15" customHeight="1">
      <c r="A351" s="1" t="str">
        <f>"1065"</f>
        <v>1065</v>
      </c>
      <c r="B351" s="1">
        <f>""</f>
      </c>
      <c r="C351" s="1" t="str">
        <f>"SOIL &amp; CROP SCI DRY PROCESSING"</f>
        <v>SOIL &amp; CROP SCI DRY PROCESSING</v>
      </c>
      <c r="D351" s="1" t="str">
        <f>"373 Turk Rd."</f>
        <v>373 Turk Rd.</v>
      </c>
      <c r="E351" s="1" t="str">
        <f t="shared" si="12"/>
        <v>College Station</v>
      </c>
      <c r="F351" s="1" t="str">
        <f t="shared" si="11"/>
        <v>77843</v>
      </c>
      <c r="G351" t="s">
        <v>9</v>
      </c>
    </row>
    <row r="352" spans="1:7" ht="15" customHeight="1">
      <c r="A352" s="1" t="str">
        <f>"1066"</f>
        <v>1066</v>
      </c>
      <c r="B352" s="1">
        <f>""</f>
      </c>
      <c r="C352" s="1" t="str">
        <f>"COTTON GINNING LAB"</f>
        <v>COTTON GINNING LAB</v>
      </c>
      <c r="D352" s="1" t="str">
        <f>"373 Turk Rd."</f>
        <v>373 Turk Rd.</v>
      </c>
      <c r="E352" s="1" t="str">
        <f t="shared" si="12"/>
        <v>College Station</v>
      </c>
      <c r="F352" s="1" t="str">
        <f t="shared" si="11"/>
        <v>77843</v>
      </c>
      <c r="G352" t="s">
        <v>9</v>
      </c>
    </row>
    <row r="353" spans="1:7" ht="15" customHeight="1">
      <c r="A353" s="1" t="str">
        <f>"1067"</f>
        <v>1067</v>
      </c>
      <c r="B353" s="1">
        <f>""</f>
      </c>
      <c r="C353" s="1" t="str">
        <f>"AGRONOMY FIELD CROP LABORATORY"</f>
        <v>AGRONOMY FIELD CROP LABORATORY</v>
      </c>
      <c r="D353" s="1" t="str">
        <f>"410 Turk Rd."</f>
        <v>410 Turk Rd.</v>
      </c>
      <c r="E353" s="1" t="str">
        <f t="shared" si="12"/>
        <v>College Station</v>
      </c>
      <c r="F353" s="1" t="str">
        <f t="shared" si="11"/>
        <v>77843</v>
      </c>
      <c r="G353" t="s">
        <v>9</v>
      </c>
    </row>
    <row r="354" spans="1:7" ht="15" customHeight="1">
      <c r="A354" s="1" t="str">
        <f>"1068"</f>
        <v>1068</v>
      </c>
      <c r="B354" s="1">
        <f>""</f>
      </c>
      <c r="C354" s="1" t="str">
        <f>"TVMC-VEHICLE STORAGE"</f>
        <v>TVMC-VEHICLE STORAGE</v>
      </c>
      <c r="D354" s="1">
        <f>""</f>
      </c>
      <c r="E354" s="1" t="str">
        <f t="shared" si="12"/>
        <v>College Station</v>
      </c>
      <c r="F354" s="1" t="str">
        <f t="shared" si="11"/>
        <v>77843</v>
      </c>
      <c r="G354" t="s">
        <v>8</v>
      </c>
    </row>
    <row r="355" spans="1:7" ht="15" customHeight="1">
      <c r="A355" s="1" t="str">
        <f>"1075"</f>
        <v>1075</v>
      </c>
      <c r="B355" s="1">
        <f>""</f>
      </c>
      <c r="C355" s="1" t="str">
        <f>"ECOLOGY &amp; NATURAL RESOURCES TEACHING PAVILION"</f>
        <v>ECOLOGY &amp; NATURAL RESOURCES TEACHING PAVILION</v>
      </c>
      <c r="D355" s="1">
        <f>""</f>
      </c>
      <c r="E355" s="1" t="str">
        <f t="shared" si="12"/>
        <v>College Station</v>
      </c>
      <c r="F355" s="1" t="str">
        <f t="shared" si="11"/>
        <v>77843</v>
      </c>
      <c r="G355" t="s">
        <v>8</v>
      </c>
    </row>
    <row r="356" spans="1:7" ht="15" customHeight="1">
      <c r="A356" s="1" t="str">
        <f>"1077"</f>
        <v>1077</v>
      </c>
      <c r="B356" s="1">
        <f>""</f>
      </c>
      <c r="C356" s="1" t="str">
        <f>"SCSC SMALL GRAIN GREENHOUSE"</f>
        <v>SCSC SMALL GRAIN GREENHOUSE</v>
      </c>
      <c r="D356" s="1">
        <f>""</f>
      </c>
      <c r="E356" s="1" t="str">
        <f t="shared" si="12"/>
        <v>College Station</v>
      </c>
      <c r="F356" s="1" t="str">
        <f t="shared" si="11"/>
        <v>77843</v>
      </c>
      <c r="G356" t="s">
        <v>8</v>
      </c>
    </row>
    <row r="357" spans="1:7" ht="15" customHeight="1">
      <c r="A357" s="1" t="str">
        <f>"1078"</f>
        <v>1078</v>
      </c>
      <c r="B357" s="1">
        <f>""</f>
      </c>
      <c r="C357" s="1" t="str">
        <f>"SOIL &amp; CROP PEANUT GREENHOUSE"</f>
        <v>SOIL &amp; CROP PEANUT GREENHOUSE</v>
      </c>
      <c r="D357" s="1">
        <f>""</f>
      </c>
      <c r="E357" s="1" t="str">
        <f t="shared" si="12"/>
        <v>College Station</v>
      </c>
      <c r="F357" s="1" t="str">
        <f t="shared" si="11"/>
        <v>77843</v>
      </c>
      <c r="G357" t="s">
        <v>8</v>
      </c>
    </row>
    <row r="358" spans="1:7" ht="15" customHeight="1">
      <c r="A358" s="1" t="str">
        <f>"1079"</f>
        <v>1079</v>
      </c>
      <c r="B358" s="1">
        <f>""</f>
      </c>
      <c r="C358" s="1" t="str">
        <f>"SCSC-WEED SCI GREENHOUSE"</f>
        <v>SCSC-WEED SCI GREENHOUSE</v>
      </c>
      <c r="D358" s="1">
        <f>""</f>
      </c>
      <c r="E358" s="1" t="str">
        <f t="shared" si="12"/>
        <v>College Station</v>
      </c>
      <c r="F358" s="1" t="str">
        <f t="shared" si="11"/>
        <v>77843</v>
      </c>
      <c r="G358" t="s">
        <v>8</v>
      </c>
    </row>
    <row r="359" spans="1:7" ht="15" customHeight="1">
      <c r="A359" s="1" t="str">
        <f>"1083"</f>
        <v>1083</v>
      </c>
      <c r="B359" s="1">
        <f>""</f>
      </c>
      <c r="C359" s="1" t="str">
        <f>"RESEARCH PARK MAINTENANCE BLDG"</f>
        <v>RESEARCH PARK MAINTENANCE BLDG</v>
      </c>
      <c r="D359" s="1" t="str">
        <f>"1810 Research Pw."</f>
        <v>1810 Research Pw.</v>
      </c>
      <c r="E359" s="1" t="str">
        <f t="shared" si="12"/>
        <v>College Station</v>
      </c>
      <c r="F359" s="1" t="str">
        <f t="shared" si="11"/>
        <v>77843</v>
      </c>
      <c r="G359" t="s">
        <v>9</v>
      </c>
    </row>
    <row r="360" spans="1:7" ht="15" customHeight="1">
      <c r="A360" s="1" t="str">
        <f>"1084"</f>
        <v>1084</v>
      </c>
      <c r="B360" s="1">
        <f>""</f>
      </c>
      <c r="C360" s="1" t="str">
        <f>"WEST CAMPUS SWITCHING STATION"</f>
        <v>WEST CAMPUS SWITCHING STATION</v>
      </c>
      <c r="D360" s="1" t="str">
        <f>"385 Olsen Bl."</f>
        <v>385 Olsen Bl.</v>
      </c>
      <c r="E360" s="1" t="str">
        <f t="shared" si="12"/>
        <v>College Station</v>
      </c>
      <c r="F360" s="1" t="str">
        <f t="shared" si="11"/>
        <v>77843</v>
      </c>
      <c r="G360" t="s">
        <v>9</v>
      </c>
    </row>
    <row r="361" spans="1:7" ht="15" customHeight="1">
      <c r="A361" s="1" t="str">
        <f>"1085"</f>
        <v>1085</v>
      </c>
      <c r="B361" s="1" t="str">
        <f>"VSAH"</f>
        <v>VSAH</v>
      </c>
      <c r="C361" s="1" t="str">
        <f>"VETERINARY SMALL ANIMAL HOSPITAL"</f>
        <v>VETERINARY SMALL ANIMAL HOSPITAL</v>
      </c>
      <c r="D361" s="1" t="str">
        <f>"408 Raymond Stotzer Pw."</f>
        <v>408 Raymond Stotzer Pw.</v>
      </c>
      <c r="E361" s="1" t="str">
        <f t="shared" si="12"/>
        <v>College Station</v>
      </c>
      <c r="F361" s="1" t="str">
        <f t="shared" si="11"/>
        <v>77843</v>
      </c>
      <c r="G361" t="s">
        <v>9</v>
      </c>
    </row>
    <row r="362" spans="1:7" ht="15" customHeight="1">
      <c r="A362" s="1" t="str">
        <f>"1086"</f>
        <v>1086</v>
      </c>
      <c r="B362" s="1">
        <f>""</f>
      </c>
      <c r="C362" s="1" t="str">
        <f>"CMP-HOUSING UNIT"</f>
        <v>CMP-HOUSING UNIT</v>
      </c>
      <c r="D362" s="1">
        <f>""</f>
      </c>
      <c r="E362" s="1" t="str">
        <f t="shared" si="12"/>
        <v>College Station</v>
      </c>
      <c r="F362" s="1" t="str">
        <f t="shared" si="11"/>
        <v>77843</v>
      </c>
      <c r="G362" t="s">
        <v>8</v>
      </c>
    </row>
    <row r="363" spans="1:7" ht="15" customHeight="1">
      <c r="A363" s="1" t="str">
        <f>"1087"</f>
        <v>1087</v>
      </c>
      <c r="B363" s="1">
        <f>""</f>
      </c>
      <c r="C363" s="1" t="str">
        <f>"CMP-QUARANTINE UNIT"</f>
        <v>CMP-QUARANTINE UNIT</v>
      </c>
      <c r="D363" s="1">
        <f>""</f>
      </c>
      <c r="E363" s="1" t="str">
        <f t="shared" si="12"/>
        <v>College Station</v>
      </c>
      <c r="F363" s="1" t="str">
        <f t="shared" si="11"/>
        <v>77843</v>
      </c>
      <c r="G363" t="s">
        <v>8</v>
      </c>
    </row>
    <row r="364" spans="1:7" ht="15" customHeight="1">
      <c r="A364" s="1" t="str">
        <f>"1089"</f>
        <v>1089</v>
      </c>
      <c r="B364" s="1" t="str">
        <f>"UEOA"</f>
        <v>UEOA</v>
      </c>
      <c r="C364" s="1" t="str">
        <f>"UTILITIES ENERGY OFFICE ANNEX"</f>
        <v>UTILITIES ENERGY OFFICE ANNEX</v>
      </c>
      <c r="D364" s="1" t="str">
        <f>"1092 Harvey Mitchell Pw. S."</f>
        <v>1092 Harvey Mitchell Pw. S.</v>
      </c>
      <c r="E364" s="1" t="str">
        <f t="shared" si="12"/>
        <v>College Station</v>
      </c>
      <c r="F364" s="1" t="str">
        <f t="shared" si="11"/>
        <v>77843</v>
      </c>
      <c r="G364" t="s">
        <v>9</v>
      </c>
    </row>
    <row r="365" spans="1:7" ht="15" customHeight="1">
      <c r="A365" s="1" t="str">
        <f>"1091"</f>
        <v>1091</v>
      </c>
      <c r="B365" s="1">
        <f>""</f>
      </c>
      <c r="C365" s="1" t="str">
        <f>"EASTERWOOD HANGAR 1091"</f>
        <v>EASTERWOOD HANGAR 1091</v>
      </c>
      <c r="D365" s="1" t="str">
        <f>"1820 George Bush Dr. W."</f>
        <v>1820 George Bush Dr. W.</v>
      </c>
      <c r="E365" s="1" t="str">
        <f t="shared" si="12"/>
        <v>College Station</v>
      </c>
      <c r="F365" s="1" t="str">
        <f t="shared" si="11"/>
        <v>77843</v>
      </c>
      <c r="G365" t="s">
        <v>9</v>
      </c>
    </row>
    <row r="366" spans="1:7" ht="15" customHeight="1">
      <c r="A366" s="1" t="str">
        <f>"1092"</f>
        <v>1092</v>
      </c>
      <c r="B366" s="1">
        <f>""</f>
      </c>
      <c r="C366" s="1" t="str">
        <f>"EASTERWOOD HANGAR 1092"</f>
        <v>EASTERWOOD HANGAR 1092</v>
      </c>
      <c r="D366" s="1" t="str">
        <f>"1660 George Bush Dr. W."</f>
        <v>1660 George Bush Dr. W.</v>
      </c>
      <c r="E366" s="1" t="str">
        <f t="shared" si="12"/>
        <v>College Station</v>
      </c>
      <c r="F366" s="1" t="str">
        <f t="shared" si="11"/>
        <v>77843</v>
      </c>
      <c r="G366" t="s">
        <v>9</v>
      </c>
    </row>
    <row r="367" spans="1:7" ht="15" customHeight="1">
      <c r="A367" s="1" t="str">
        <f>"1094"</f>
        <v>1094</v>
      </c>
      <c r="B367" s="1">
        <f>""</f>
      </c>
      <c r="C367" s="1" t="str">
        <f>"TVMC-POULTRY DISEASE RESEARCH"</f>
        <v>TVMC-POULTRY DISEASE RESEARCH</v>
      </c>
      <c r="D367" s="1" t="str">
        <f>"642 Turk Rd."</f>
        <v>642 Turk Rd.</v>
      </c>
      <c r="E367" s="1" t="str">
        <f t="shared" si="12"/>
        <v>College Station</v>
      </c>
      <c r="F367" s="1" t="str">
        <f t="shared" si="11"/>
        <v>77843</v>
      </c>
      <c r="G367" t="s">
        <v>9</v>
      </c>
    </row>
    <row r="368" spans="1:7" ht="15" customHeight="1">
      <c r="A368" s="1" t="str">
        <f>"1095"</f>
        <v>1095</v>
      </c>
      <c r="B368" s="1">
        <f>""</f>
      </c>
      <c r="C368" s="1" t="str">
        <f>"NUCLEAR SCIENCE CNTR"</f>
        <v>NUCLEAR SCIENCE CNTR</v>
      </c>
      <c r="D368" s="1" t="str">
        <f>"2522 Nuclear Science Rd."</f>
        <v>2522 Nuclear Science Rd.</v>
      </c>
      <c r="E368" s="1" t="str">
        <f t="shared" si="12"/>
        <v>College Station</v>
      </c>
      <c r="F368" s="1" t="str">
        <f t="shared" si="11"/>
        <v>77843</v>
      </c>
      <c r="G368" t="s">
        <v>9</v>
      </c>
    </row>
    <row r="369" spans="1:7" ht="15" customHeight="1">
      <c r="A369" s="1" t="str">
        <f>"1096"</f>
        <v>1096</v>
      </c>
      <c r="B369" s="1">
        <f>""</f>
      </c>
      <c r="C369" s="1" t="str">
        <f>"GAMMA RADIATION LAB"</f>
        <v>GAMMA RADIATION LAB</v>
      </c>
      <c r="D369" s="1">
        <f>""</f>
      </c>
      <c r="E369" s="1" t="str">
        <f t="shared" si="12"/>
        <v>College Station</v>
      </c>
      <c r="F369" s="1" t="str">
        <f t="shared" si="11"/>
        <v>77843</v>
      </c>
      <c r="G369" t="s">
        <v>8</v>
      </c>
    </row>
    <row r="370" spans="1:7" ht="15" customHeight="1">
      <c r="A370" s="1" t="str">
        <f>"1098"</f>
        <v>1098</v>
      </c>
      <c r="B370" s="1">
        <f>""</f>
      </c>
      <c r="C370" s="1" t="str">
        <f>"N.S.C. HYPERBARIC LAB"</f>
        <v>N.S.C. HYPERBARIC LAB</v>
      </c>
      <c r="D370" s="1" t="str">
        <f>"2530 Nuclear Science Rd."</f>
        <v>2530 Nuclear Science Rd.</v>
      </c>
      <c r="E370" s="1" t="str">
        <f t="shared" si="12"/>
        <v>College Station</v>
      </c>
      <c r="F370" s="1" t="str">
        <f t="shared" si="11"/>
        <v>77843</v>
      </c>
      <c r="G370" t="s">
        <v>9</v>
      </c>
    </row>
    <row r="371" spans="1:7" ht="15" customHeight="1">
      <c r="A371" s="1" t="str">
        <f>"1100"</f>
        <v>1100</v>
      </c>
      <c r="B371" s="1">
        <f>""</f>
      </c>
      <c r="C371" s="1" t="str">
        <f aca="true" t="shared" si="13" ref="C371:C377">"COLLEGE VIEW APTS"</f>
        <v>COLLEGE VIEW APTS</v>
      </c>
      <c r="D371" s="1">
        <f>""</f>
      </c>
      <c r="E371" s="1" t="str">
        <f t="shared" si="12"/>
        <v>College Station</v>
      </c>
      <c r="F371" s="1" t="str">
        <f t="shared" si="11"/>
        <v>77843</v>
      </c>
      <c r="G371" t="s">
        <v>8</v>
      </c>
    </row>
    <row r="372" spans="1:7" ht="15" customHeight="1">
      <c r="A372" s="1" t="str">
        <f>"1101"</f>
        <v>1101</v>
      </c>
      <c r="B372" s="1">
        <f>""</f>
      </c>
      <c r="C372" s="1" t="str">
        <f t="shared" si="13"/>
        <v>COLLEGE VIEW APTS</v>
      </c>
      <c r="D372" s="1">
        <f>""</f>
      </c>
      <c r="E372" s="1" t="str">
        <f t="shared" si="12"/>
        <v>College Station</v>
      </c>
      <c r="F372" s="1" t="str">
        <f t="shared" si="11"/>
        <v>77843</v>
      </c>
      <c r="G372" t="s">
        <v>8</v>
      </c>
    </row>
    <row r="373" spans="1:7" ht="15" customHeight="1">
      <c r="A373" s="1" t="str">
        <f>"1102"</f>
        <v>1102</v>
      </c>
      <c r="B373" s="1">
        <f>""</f>
      </c>
      <c r="C373" s="1" t="str">
        <f t="shared" si="13"/>
        <v>COLLEGE VIEW APTS</v>
      </c>
      <c r="D373" s="1">
        <f>""</f>
      </c>
      <c r="E373" s="1" t="str">
        <f t="shared" si="12"/>
        <v>College Station</v>
      </c>
      <c r="F373" s="1" t="str">
        <f t="shared" si="11"/>
        <v>77843</v>
      </c>
      <c r="G373" t="s">
        <v>8</v>
      </c>
    </row>
    <row r="374" spans="1:7" ht="15" customHeight="1">
      <c r="A374" s="1" t="str">
        <f>"1103"</f>
        <v>1103</v>
      </c>
      <c r="B374" s="1">
        <f>""</f>
      </c>
      <c r="C374" s="1" t="str">
        <f t="shared" si="13"/>
        <v>COLLEGE VIEW APTS</v>
      </c>
      <c r="D374" s="1" t="str">
        <f>"301 Front St."</f>
        <v>301 Front St.</v>
      </c>
      <c r="E374" s="1" t="str">
        <f t="shared" si="12"/>
        <v>College Station</v>
      </c>
      <c r="F374" s="1" t="str">
        <f t="shared" si="11"/>
        <v>77843</v>
      </c>
      <c r="G374" t="s">
        <v>9</v>
      </c>
    </row>
    <row r="375" spans="1:7" ht="15" customHeight="1">
      <c r="A375" s="1" t="str">
        <f>"1104"</f>
        <v>1104</v>
      </c>
      <c r="B375" s="1">
        <f>""</f>
      </c>
      <c r="C375" s="1" t="str">
        <f t="shared" si="13"/>
        <v>COLLEGE VIEW APTS</v>
      </c>
      <c r="D375" s="1">
        <f>""</f>
      </c>
      <c r="E375" s="1" t="str">
        <f t="shared" si="12"/>
        <v>College Station</v>
      </c>
      <c r="F375" s="1" t="str">
        <f t="shared" si="11"/>
        <v>77843</v>
      </c>
      <c r="G375" t="s">
        <v>8</v>
      </c>
    </row>
    <row r="376" spans="1:7" ht="15" customHeight="1">
      <c r="A376" s="1" t="str">
        <f>"1105"</f>
        <v>1105</v>
      </c>
      <c r="B376" s="1">
        <f>""</f>
      </c>
      <c r="C376" s="1" t="str">
        <f t="shared" si="13"/>
        <v>COLLEGE VIEW APTS</v>
      </c>
      <c r="D376" s="1">
        <f>""</f>
      </c>
      <c r="E376" s="1" t="str">
        <f t="shared" si="12"/>
        <v>College Station</v>
      </c>
      <c r="F376" s="1" t="str">
        <f t="shared" si="11"/>
        <v>77843</v>
      </c>
      <c r="G376" t="s">
        <v>8</v>
      </c>
    </row>
    <row r="377" spans="1:7" ht="15" customHeight="1">
      <c r="A377" s="1" t="str">
        <f>"1106"</f>
        <v>1106</v>
      </c>
      <c r="B377" s="1">
        <f>""</f>
      </c>
      <c r="C377" s="1" t="str">
        <f t="shared" si="13"/>
        <v>COLLEGE VIEW APTS</v>
      </c>
      <c r="D377" s="1" t="str">
        <f>"213 Front St."</f>
        <v>213 Front St.</v>
      </c>
      <c r="E377" s="1" t="str">
        <f t="shared" si="12"/>
        <v>College Station</v>
      </c>
      <c r="F377" s="1" t="str">
        <f t="shared" si="11"/>
        <v>77843</v>
      </c>
      <c r="G377" t="s">
        <v>9</v>
      </c>
    </row>
    <row r="378" spans="1:7" ht="15" customHeight="1">
      <c r="A378" s="1" t="str">
        <f>"1107"</f>
        <v>1107</v>
      </c>
      <c r="B378" s="1">
        <f>""</f>
      </c>
      <c r="C378" s="1" t="str">
        <f aca="true" t="shared" si="14" ref="C378:C393">"COLLEGE AVENUE APARTMENTS"</f>
        <v>COLLEGE AVENUE APARTMENTS</v>
      </c>
      <c r="D378" s="1">
        <f>""</f>
      </c>
      <c r="E378" s="1" t="str">
        <f t="shared" si="12"/>
        <v>College Station</v>
      </c>
      <c r="F378" s="1" t="str">
        <f t="shared" si="11"/>
        <v>77843</v>
      </c>
      <c r="G378" t="s">
        <v>8</v>
      </c>
    </row>
    <row r="379" spans="1:7" ht="15" customHeight="1">
      <c r="A379" s="1" t="str">
        <f>"1108"</f>
        <v>1108</v>
      </c>
      <c r="B379" s="1">
        <f>""</f>
      </c>
      <c r="C379" s="1" t="str">
        <f t="shared" si="14"/>
        <v>COLLEGE AVENUE APARTMENTS</v>
      </c>
      <c r="D379" s="1">
        <f>""</f>
      </c>
      <c r="E379" s="1" t="str">
        <f t="shared" si="12"/>
        <v>College Station</v>
      </c>
      <c r="F379" s="1" t="str">
        <f t="shared" si="11"/>
        <v>77843</v>
      </c>
      <c r="G379" t="s">
        <v>8</v>
      </c>
    </row>
    <row r="380" spans="1:7" ht="15" customHeight="1">
      <c r="A380" s="1" t="str">
        <f>"1109"</f>
        <v>1109</v>
      </c>
      <c r="B380" s="1">
        <f>""</f>
      </c>
      <c r="C380" s="1" t="str">
        <f t="shared" si="14"/>
        <v>COLLEGE AVENUE APARTMENTS</v>
      </c>
      <c r="D380" s="1">
        <f>""</f>
      </c>
      <c r="E380" s="1" t="str">
        <f t="shared" si="12"/>
        <v>College Station</v>
      </c>
      <c r="F380" s="1" t="str">
        <f t="shared" si="11"/>
        <v>77843</v>
      </c>
      <c r="G380" t="s">
        <v>8</v>
      </c>
    </row>
    <row r="381" spans="1:7" ht="15" customHeight="1">
      <c r="A381" s="1" t="str">
        <f>"1110"</f>
        <v>1110</v>
      </c>
      <c r="B381" s="1">
        <f>""</f>
      </c>
      <c r="C381" s="1" t="str">
        <f t="shared" si="14"/>
        <v>COLLEGE AVENUE APARTMENTS</v>
      </c>
      <c r="D381" s="1">
        <f>""</f>
      </c>
      <c r="E381" s="1" t="str">
        <f t="shared" si="12"/>
        <v>College Station</v>
      </c>
      <c r="F381" s="1" t="str">
        <f aca="true" t="shared" si="15" ref="F381:F444">"77843"</f>
        <v>77843</v>
      </c>
      <c r="G381" t="s">
        <v>8</v>
      </c>
    </row>
    <row r="382" spans="1:7" ht="15" customHeight="1">
      <c r="A382" s="1" t="str">
        <f>"1111"</f>
        <v>1111</v>
      </c>
      <c r="B382" s="1">
        <f>""</f>
      </c>
      <c r="C382" s="1" t="str">
        <f t="shared" si="14"/>
        <v>COLLEGE AVENUE APARTMENTS</v>
      </c>
      <c r="D382" s="1">
        <f>""</f>
      </c>
      <c r="E382" s="1" t="str">
        <f t="shared" si="12"/>
        <v>College Station</v>
      </c>
      <c r="F382" s="1" t="str">
        <f t="shared" si="15"/>
        <v>77843</v>
      </c>
      <c r="G382" t="s">
        <v>8</v>
      </c>
    </row>
    <row r="383" spans="1:7" ht="15" customHeight="1">
      <c r="A383" s="1" t="str">
        <f>"1112"</f>
        <v>1112</v>
      </c>
      <c r="B383" s="1">
        <f>""</f>
      </c>
      <c r="C383" s="1" t="str">
        <f t="shared" si="14"/>
        <v>COLLEGE AVENUE APARTMENTS</v>
      </c>
      <c r="D383" s="1">
        <f>""</f>
      </c>
      <c r="E383" s="1" t="str">
        <f t="shared" si="12"/>
        <v>College Station</v>
      </c>
      <c r="F383" s="1" t="str">
        <f t="shared" si="15"/>
        <v>77843</v>
      </c>
      <c r="G383" t="s">
        <v>8</v>
      </c>
    </row>
    <row r="384" spans="1:7" ht="15" customHeight="1">
      <c r="A384" s="1" t="str">
        <f>"1113"</f>
        <v>1113</v>
      </c>
      <c r="B384" s="1">
        <f>""</f>
      </c>
      <c r="C384" s="1" t="str">
        <f t="shared" si="14"/>
        <v>COLLEGE AVENUE APARTMENTS</v>
      </c>
      <c r="D384" s="1">
        <f>""</f>
      </c>
      <c r="E384" s="1" t="str">
        <f t="shared" si="12"/>
        <v>College Station</v>
      </c>
      <c r="F384" s="1" t="str">
        <f t="shared" si="15"/>
        <v>77843</v>
      </c>
      <c r="G384" t="s">
        <v>8</v>
      </c>
    </row>
    <row r="385" spans="1:7" ht="15" customHeight="1">
      <c r="A385" s="1" t="str">
        <f>"1114"</f>
        <v>1114</v>
      </c>
      <c r="B385" s="1">
        <f>""</f>
      </c>
      <c r="C385" s="1" t="str">
        <f t="shared" si="14"/>
        <v>COLLEGE AVENUE APARTMENTS</v>
      </c>
      <c r="D385" s="1">
        <f>""</f>
      </c>
      <c r="E385" s="1" t="str">
        <f t="shared" si="12"/>
        <v>College Station</v>
      </c>
      <c r="F385" s="1" t="str">
        <f t="shared" si="15"/>
        <v>77843</v>
      </c>
      <c r="G385" t="s">
        <v>8</v>
      </c>
    </row>
    <row r="386" spans="1:7" ht="15" customHeight="1">
      <c r="A386" s="1" t="str">
        <f>"1115"</f>
        <v>1115</v>
      </c>
      <c r="B386" s="1">
        <f>""</f>
      </c>
      <c r="C386" s="1" t="str">
        <f t="shared" si="14"/>
        <v>COLLEGE AVENUE APARTMENTS</v>
      </c>
      <c r="D386" s="1">
        <f>""</f>
      </c>
      <c r="E386" s="1" t="str">
        <f aca="true" t="shared" si="16" ref="E386:E449">"College Station"</f>
        <v>College Station</v>
      </c>
      <c r="F386" s="1" t="str">
        <f t="shared" si="15"/>
        <v>77843</v>
      </c>
      <c r="G386" t="s">
        <v>8</v>
      </c>
    </row>
    <row r="387" spans="1:7" ht="15" customHeight="1">
      <c r="A387" s="1" t="str">
        <f>"1116"</f>
        <v>1116</v>
      </c>
      <c r="B387" s="1">
        <f>""</f>
      </c>
      <c r="C387" s="1" t="str">
        <f t="shared" si="14"/>
        <v>COLLEGE AVENUE APARTMENTS</v>
      </c>
      <c r="D387" s="1">
        <f>""</f>
      </c>
      <c r="E387" s="1" t="str">
        <f t="shared" si="16"/>
        <v>College Station</v>
      </c>
      <c r="F387" s="1" t="str">
        <f t="shared" si="15"/>
        <v>77843</v>
      </c>
      <c r="G387" t="s">
        <v>8</v>
      </c>
    </row>
    <row r="388" spans="1:7" ht="15" customHeight="1">
      <c r="A388" s="1" t="str">
        <f>"1117"</f>
        <v>1117</v>
      </c>
      <c r="B388" s="1">
        <f>""</f>
      </c>
      <c r="C388" s="1" t="str">
        <f t="shared" si="14"/>
        <v>COLLEGE AVENUE APARTMENTS</v>
      </c>
      <c r="D388" s="1">
        <f>""</f>
      </c>
      <c r="E388" s="1" t="str">
        <f t="shared" si="16"/>
        <v>College Station</v>
      </c>
      <c r="F388" s="1" t="str">
        <f t="shared" si="15"/>
        <v>77843</v>
      </c>
      <c r="G388" t="s">
        <v>8</v>
      </c>
    </row>
    <row r="389" spans="1:7" ht="15" customHeight="1">
      <c r="A389" s="1" t="str">
        <f>"1118"</f>
        <v>1118</v>
      </c>
      <c r="B389" s="1">
        <f>""</f>
      </c>
      <c r="C389" s="1" t="str">
        <f t="shared" si="14"/>
        <v>COLLEGE AVENUE APARTMENTS</v>
      </c>
      <c r="D389" s="1">
        <f>""</f>
      </c>
      <c r="E389" s="1" t="str">
        <f t="shared" si="16"/>
        <v>College Station</v>
      </c>
      <c r="F389" s="1" t="str">
        <f t="shared" si="15"/>
        <v>77843</v>
      </c>
      <c r="G389" t="s">
        <v>8</v>
      </c>
    </row>
    <row r="390" spans="1:7" ht="15" customHeight="1">
      <c r="A390" s="1" t="str">
        <f>"1119"</f>
        <v>1119</v>
      </c>
      <c r="B390" s="1">
        <f>""</f>
      </c>
      <c r="C390" s="1" t="str">
        <f t="shared" si="14"/>
        <v>COLLEGE AVENUE APARTMENTS</v>
      </c>
      <c r="D390" s="1">
        <f>""</f>
      </c>
      <c r="E390" s="1" t="str">
        <f t="shared" si="16"/>
        <v>College Station</v>
      </c>
      <c r="F390" s="1" t="str">
        <f t="shared" si="15"/>
        <v>77843</v>
      </c>
      <c r="G390" t="s">
        <v>8</v>
      </c>
    </row>
    <row r="391" spans="1:7" ht="15" customHeight="1">
      <c r="A391" s="1" t="str">
        <f>"1120"</f>
        <v>1120</v>
      </c>
      <c r="B391" s="1">
        <f>""</f>
      </c>
      <c r="C391" s="1" t="str">
        <f t="shared" si="14"/>
        <v>COLLEGE AVENUE APARTMENTS</v>
      </c>
      <c r="D391" s="1">
        <f>""</f>
      </c>
      <c r="E391" s="1" t="str">
        <f t="shared" si="16"/>
        <v>College Station</v>
      </c>
      <c r="F391" s="1" t="str">
        <f t="shared" si="15"/>
        <v>77843</v>
      </c>
      <c r="G391" t="s">
        <v>8</v>
      </c>
    </row>
    <row r="392" spans="1:7" ht="15" customHeight="1">
      <c r="A392" s="1" t="str">
        <f>"1121"</f>
        <v>1121</v>
      </c>
      <c r="B392" s="1">
        <f>""</f>
      </c>
      <c r="C392" s="1" t="str">
        <f t="shared" si="14"/>
        <v>COLLEGE AVENUE APARTMENTS</v>
      </c>
      <c r="D392" s="1">
        <f>""</f>
      </c>
      <c r="E392" s="1" t="str">
        <f t="shared" si="16"/>
        <v>College Station</v>
      </c>
      <c r="F392" s="1" t="str">
        <f t="shared" si="15"/>
        <v>77843</v>
      </c>
      <c r="G392" t="s">
        <v>8</v>
      </c>
    </row>
    <row r="393" spans="1:7" ht="15" customHeight="1">
      <c r="A393" s="1" t="str">
        <f>"1122"</f>
        <v>1122</v>
      </c>
      <c r="B393" s="1">
        <f>""</f>
      </c>
      <c r="C393" s="1" t="str">
        <f t="shared" si="14"/>
        <v>COLLEGE AVENUE APARTMENTS</v>
      </c>
      <c r="D393" s="1">
        <f>""</f>
      </c>
      <c r="E393" s="1" t="str">
        <f t="shared" si="16"/>
        <v>College Station</v>
      </c>
      <c r="F393" s="1" t="str">
        <f t="shared" si="15"/>
        <v>77843</v>
      </c>
      <c r="G393" t="s">
        <v>8</v>
      </c>
    </row>
    <row r="394" spans="1:7" ht="15" customHeight="1">
      <c r="A394" s="1" t="str">
        <f>"1123"</f>
        <v>1123</v>
      </c>
      <c r="B394" s="1">
        <f>""</f>
      </c>
      <c r="C394" s="1" t="str">
        <f>"AVENUE A APT#1"</f>
        <v>AVENUE A APT#1</v>
      </c>
      <c r="D394" s="1" t="str">
        <f>"200 Charles Haltom Av. #1"</f>
        <v>200 Charles Haltom Av. #1</v>
      </c>
      <c r="E394" s="1" t="str">
        <f t="shared" si="16"/>
        <v>College Station</v>
      </c>
      <c r="F394" s="1" t="str">
        <f t="shared" si="15"/>
        <v>77843</v>
      </c>
      <c r="G394" t="s">
        <v>9</v>
      </c>
    </row>
    <row r="395" spans="1:7" ht="15" customHeight="1">
      <c r="A395" s="1" t="str">
        <f>"1124"</f>
        <v>1124</v>
      </c>
      <c r="B395" s="1">
        <f>""</f>
      </c>
      <c r="C395" s="1" t="str">
        <f>"AVENUE A APT#2"</f>
        <v>AVENUE A APT#2</v>
      </c>
      <c r="D395" s="1" t="str">
        <f>"200 Charles Haltom Av. #2"</f>
        <v>200 Charles Haltom Av. #2</v>
      </c>
      <c r="E395" s="1" t="str">
        <f t="shared" si="16"/>
        <v>College Station</v>
      </c>
      <c r="F395" s="1" t="str">
        <f t="shared" si="15"/>
        <v>77843</v>
      </c>
      <c r="G395" t="s">
        <v>9</v>
      </c>
    </row>
    <row r="396" spans="1:7" ht="15" customHeight="1">
      <c r="A396" s="1" t="str">
        <f>"1125"</f>
        <v>1125</v>
      </c>
      <c r="B396" s="1">
        <f>""</f>
      </c>
      <c r="C396" s="1" t="str">
        <f>"AVENUE A APT#3"</f>
        <v>AVENUE A APT#3</v>
      </c>
      <c r="D396" s="1" t="str">
        <f>"200 Charles Haltom Av. #3"</f>
        <v>200 Charles Haltom Av. #3</v>
      </c>
      <c r="E396" s="1" t="str">
        <f t="shared" si="16"/>
        <v>College Station</v>
      </c>
      <c r="F396" s="1" t="str">
        <f t="shared" si="15"/>
        <v>77843</v>
      </c>
      <c r="G396" t="s">
        <v>9</v>
      </c>
    </row>
    <row r="397" spans="1:7" ht="15" customHeight="1">
      <c r="A397" s="1" t="str">
        <f>"1126"</f>
        <v>1126</v>
      </c>
      <c r="B397" s="1">
        <f>""</f>
      </c>
      <c r="C397" s="1" t="str">
        <f>"AVENUE A APT#4"</f>
        <v>AVENUE A APT#4</v>
      </c>
      <c r="D397" s="1" t="str">
        <f>"200 Charles Haltom Av. #4"</f>
        <v>200 Charles Haltom Av. #4</v>
      </c>
      <c r="E397" s="1" t="str">
        <f t="shared" si="16"/>
        <v>College Station</v>
      </c>
      <c r="F397" s="1" t="str">
        <f t="shared" si="15"/>
        <v>77843</v>
      </c>
      <c r="G397" t="s">
        <v>9</v>
      </c>
    </row>
    <row r="398" spans="1:7" ht="15" customHeight="1">
      <c r="A398" s="1" t="str">
        <f>"1127"</f>
        <v>1127</v>
      </c>
      <c r="B398" s="1">
        <f>""</f>
      </c>
      <c r="C398" s="1" t="str">
        <f>"AVENUE A APT#11"</f>
        <v>AVENUE A APT#11</v>
      </c>
      <c r="D398" s="1" t="str">
        <f>"200 Calvin Moore Av. #11"</f>
        <v>200 Calvin Moore Av. #11</v>
      </c>
      <c r="E398" s="1" t="str">
        <f t="shared" si="16"/>
        <v>College Station</v>
      </c>
      <c r="F398" s="1" t="str">
        <f t="shared" si="15"/>
        <v>77843</v>
      </c>
      <c r="G398" t="s">
        <v>9</v>
      </c>
    </row>
    <row r="399" spans="1:7" ht="15" customHeight="1">
      <c r="A399" s="1" t="str">
        <f>"1128"</f>
        <v>1128</v>
      </c>
      <c r="B399" s="1">
        <f>""</f>
      </c>
      <c r="C399" s="1" t="str">
        <f>"AVENUE A APT#10"</f>
        <v>AVENUE A APT#10</v>
      </c>
      <c r="D399" s="1" t="str">
        <f>"200 Calvin Moore Av. #10"</f>
        <v>200 Calvin Moore Av. #10</v>
      </c>
      <c r="E399" s="1" t="str">
        <f t="shared" si="16"/>
        <v>College Station</v>
      </c>
      <c r="F399" s="1" t="str">
        <f t="shared" si="15"/>
        <v>77843</v>
      </c>
      <c r="G399" t="s">
        <v>9</v>
      </c>
    </row>
    <row r="400" spans="1:7" ht="15" customHeight="1">
      <c r="A400" s="1" t="str">
        <f>"1129"</f>
        <v>1129</v>
      </c>
      <c r="B400" s="1">
        <f>""</f>
      </c>
      <c r="C400" s="1" t="str">
        <f>"FLORICULTURE GREENHOUSE"</f>
        <v>FLORICULTURE GREENHOUSE</v>
      </c>
      <c r="D400" s="1" t="str">
        <f>"568 Floriculture Rd."</f>
        <v>568 Floriculture Rd.</v>
      </c>
      <c r="E400" s="1" t="str">
        <f t="shared" si="16"/>
        <v>College Station</v>
      </c>
      <c r="F400" s="1" t="str">
        <f t="shared" si="15"/>
        <v>77843</v>
      </c>
      <c r="G400" t="s">
        <v>9</v>
      </c>
    </row>
    <row r="401" spans="1:7" ht="15" customHeight="1">
      <c r="A401" s="1" t="str">
        <f>"1134"</f>
        <v>1134</v>
      </c>
      <c r="B401" s="1">
        <f>""</f>
      </c>
      <c r="C401" s="1" t="str">
        <f>"AVENUE A APT#5"</f>
        <v>AVENUE A APT#5</v>
      </c>
      <c r="D401" s="1" t="str">
        <f>"200 Charles Haltom Av. #5"</f>
        <v>200 Charles Haltom Av. #5</v>
      </c>
      <c r="E401" s="1" t="str">
        <f t="shared" si="16"/>
        <v>College Station</v>
      </c>
      <c r="F401" s="1" t="str">
        <f t="shared" si="15"/>
        <v>77843</v>
      </c>
      <c r="G401" t="s">
        <v>9</v>
      </c>
    </row>
    <row r="402" spans="1:7" ht="15" customHeight="1">
      <c r="A402" s="1" t="str">
        <f>"1135"</f>
        <v>1135</v>
      </c>
      <c r="B402" s="1">
        <f>""</f>
      </c>
      <c r="C402" s="1" t="str">
        <f>"AVENUE A APT#6"</f>
        <v>AVENUE A APT#6</v>
      </c>
      <c r="D402" s="1" t="str">
        <f>"200 Charles Haltom Av. #6"</f>
        <v>200 Charles Haltom Av. #6</v>
      </c>
      <c r="E402" s="1" t="str">
        <f t="shared" si="16"/>
        <v>College Station</v>
      </c>
      <c r="F402" s="1" t="str">
        <f t="shared" si="15"/>
        <v>77843</v>
      </c>
      <c r="G402" t="s">
        <v>9</v>
      </c>
    </row>
    <row r="403" spans="1:7" ht="15" customHeight="1">
      <c r="A403" s="1" t="str">
        <f>"1136"</f>
        <v>1136</v>
      </c>
      <c r="B403" s="1">
        <f>""</f>
      </c>
      <c r="C403" s="1" t="str">
        <f>"AVENUE A APT#7"</f>
        <v>AVENUE A APT#7</v>
      </c>
      <c r="D403" s="1" t="str">
        <f>"200 Charles Haltom Av. #7"</f>
        <v>200 Charles Haltom Av. #7</v>
      </c>
      <c r="E403" s="1" t="str">
        <f t="shared" si="16"/>
        <v>College Station</v>
      </c>
      <c r="F403" s="1" t="str">
        <f t="shared" si="15"/>
        <v>77843</v>
      </c>
      <c r="G403" t="s">
        <v>9</v>
      </c>
    </row>
    <row r="404" spans="1:7" ht="15" customHeight="1">
      <c r="A404" s="1" t="str">
        <f>"1137"</f>
        <v>1137</v>
      </c>
      <c r="B404" s="1">
        <f>""</f>
      </c>
      <c r="C404" s="1" t="str">
        <f>"AVENUE A APT#9"</f>
        <v>AVENUE A APT#9</v>
      </c>
      <c r="D404" s="1" t="str">
        <f>"200 Calvin Moore Av. #9"</f>
        <v>200 Calvin Moore Av. #9</v>
      </c>
      <c r="E404" s="1" t="str">
        <f t="shared" si="16"/>
        <v>College Station</v>
      </c>
      <c r="F404" s="1" t="str">
        <f t="shared" si="15"/>
        <v>77843</v>
      </c>
      <c r="G404" t="s">
        <v>9</v>
      </c>
    </row>
    <row r="405" spans="1:7" ht="15" customHeight="1">
      <c r="A405" s="1" t="str">
        <f>"1138"</f>
        <v>1138</v>
      </c>
      <c r="B405" s="1">
        <f>""</f>
      </c>
      <c r="C405" s="1" t="str">
        <f>"AVENUE A APT#8"</f>
        <v>AVENUE A APT#8</v>
      </c>
      <c r="D405" s="1" t="str">
        <f>"200 Calvin Moore Av. #8"</f>
        <v>200 Calvin Moore Av. #8</v>
      </c>
      <c r="E405" s="1" t="str">
        <f t="shared" si="16"/>
        <v>College Station</v>
      </c>
      <c r="F405" s="1" t="str">
        <f t="shared" si="15"/>
        <v>77843</v>
      </c>
      <c r="G405" t="s">
        <v>9</v>
      </c>
    </row>
    <row r="406" spans="1:7" ht="15" customHeight="1">
      <c r="A406" s="1" t="str">
        <f>"1140"</f>
        <v>1140</v>
      </c>
      <c r="B406" s="1">
        <f>""</f>
      </c>
      <c r="C406" s="1" t="str">
        <f>"ESTI EXTINGUISHER REFILL BUILDING"</f>
        <v>ESTI EXTINGUISHER REFILL BUILDING</v>
      </c>
      <c r="D406" s="1" t="str">
        <f>"1595 Nuclear Science Rd."</f>
        <v>1595 Nuclear Science Rd.</v>
      </c>
      <c r="E406" s="1" t="str">
        <f t="shared" si="16"/>
        <v>College Station</v>
      </c>
      <c r="F406" s="1" t="str">
        <f t="shared" si="15"/>
        <v>77843</v>
      </c>
      <c r="G406" t="s">
        <v>9</v>
      </c>
    </row>
    <row r="407" spans="1:7" ht="15" customHeight="1">
      <c r="A407" s="1" t="str">
        <f>"1141"</f>
        <v>1141</v>
      </c>
      <c r="B407" s="1">
        <f>""</f>
      </c>
      <c r="C407" s="1" t="str">
        <f>"ESTI RESCUE CLASSROOM"</f>
        <v>ESTI RESCUE CLASSROOM</v>
      </c>
      <c r="D407" s="1" t="str">
        <f>"1595 Nuclear Science Rd."</f>
        <v>1595 Nuclear Science Rd.</v>
      </c>
      <c r="E407" s="1" t="str">
        <f t="shared" si="16"/>
        <v>College Station</v>
      </c>
      <c r="F407" s="1" t="str">
        <f t="shared" si="15"/>
        <v>77843</v>
      </c>
      <c r="G407" t="s">
        <v>9</v>
      </c>
    </row>
    <row r="408" spans="1:7" ht="15" customHeight="1">
      <c r="A408" s="1" t="str">
        <f>"1142"</f>
        <v>1142</v>
      </c>
      <c r="B408" s="1">
        <f>""</f>
      </c>
      <c r="C408" s="1" t="str">
        <f>"ESTI MARINE CLASSROOM/FIRST AID"</f>
        <v>ESTI MARINE CLASSROOM/FIRST AID</v>
      </c>
      <c r="D408" s="1" t="str">
        <f>"1595 Nuclear Science Rd."</f>
        <v>1595 Nuclear Science Rd.</v>
      </c>
      <c r="E408" s="1" t="str">
        <f t="shared" si="16"/>
        <v>College Station</v>
      </c>
      <c r="F408" s="1" t="str">
        <f t="shared" si="15"/>
        <v>77843</v>
      </c>
      <c r="G408" t="s">
        <v>9</v>
      </c>
    </row>
    <row r="409" spans="1:7" ht="15" customHeight="1">
      <c r="A409" s="1" t="str">
        <f>"1143"</f>
        <v>1143</v>
      </c>
      <c r="B409" s="1">
        <f>""</f>
      </c>
      <c r="C409" s="1" t="str">
        <f>"ESTI FIXED SYSTEM CLASSROOM"</f>
        <v>ESTI FIXED SYSTEM CLASSROOM</v>
      </c>
      <c r="D409" s="1" t="str">
        <f>"1595 Nuclear Science Rd."</f>
        <v>1595 Nuclear Science Rd.</v>
      </c>
      <c r="E409" s="1" t="str">
        <f t="shared" si="16"/>
        <v>College Station</v>
      </c>
      <c r="F409" s="1" t="str">
        <f t="shared" si="15"/>
        <v>77843</v>
      </c>
      <c r="G409" t="s">
        <v>9</v>
      </c>
    </row>
    <row r="410" spans="1:7" ht="15" customHeight="1">
      <c r="A410" s="1" t="str">
        <f>"1144"</f>
        <v>1144</v>
      </c>
      <c r="B410" s="1">
        <f>""</f>
      </c>
      <c r="C410" s="1" t="str">
        <f>"ESTI INDUSTRIAL CLASSROOM"</f>
        <v>ESTI INDUSTRIAL CLASSROOM</v>
      </c>
      <c r="D410" s="1" t="str">
        <f>"1595 Nuclear Science Rd."</f>
        <v>1595 Nuclear Science Rd.</v>
      </c>
      <c r="E410" s="1" t="str">
        <f t="shared" si="16"/>
        <v>College Station</v>
      </c>
      <c r="F410" s="1" t="str">
        <f t="shared" si="15"/>
        <v>77843</v>
      </c>
      <c r="G410" t="s">
        <v>9</v>
      </c>
    </row>
    <row r="411" spans="1:7" ht="15" customHeight="1">
      <c r="A411" s="1" t="str">
        <f>"1146"</f>
        <v>1146</v>
      </c>
      <c r="B411" s="1" t="str">
        <f>"BCC"</f>
        <v>BCC</v>
      </c>
      <c r="C411" s="1" t="str">
        <f>"BIOLOGICAL CONTROL FACILITY"</f>
        <v>BIOLOGICAL CONTROL FACILITY</v>
      </c>
      <c r="D411" s="1" t="str">
        <f>"150 Agronomy Rd."</f>
        <v>150 Agronomy Rd.</v>
      </c>
      <c r="E411" s="1" t="str">
        <f t="shared" si="16"/>
        <v>College Station</v>
      </c>
      <c r="F411" s="1" t="str">
        <f t="shared" si="15"/>
        <v>77843</v>
      </c>
      <c r="G411" t="s">
        <v>9</v>
      </c>
    </row>
    <row r="412" spans="1:7" ht="15" customHeight="1">
      <c r="A412" s="1" t="str">
        <f>"1147"</f>
        <v>1147</v>
      </c>
      <c r="B412" s="1">
        <f>""</f>
      </c>
      <c r="C412" s="1" t="str">
        <f>"REPRODUCTIVE SCIENCES LAB"</f>
        <v>REPRODUCTIVE SCIENCES LAB</v>
      </c>
      <c r="D412" s="1" t="str">
        <f>"676 Raymond Stotzer Pw."</f>
        <v>676 Raymond Stotzer Pw.</v>
      </c>
      <c r="E412" s="1" t="str">
        <f t="shared" si="16"/>
        <v>College Station</v>
      </c>
      <c r="F412" s="1" t="str">
        <f t="shared" si="15"/>
        <v>77843</v>
      </c>
      <c r="G412" t="s">
        <v>9</v>
      </c>
    </row>
    <row r="413" spans="1:7" ht="15" customHeight="1">
      <c r="A413" s="1" t="str">
        <f>"1149"</f>
        <v>1149</v>
      </c>
      <c r="B413" s="1">
        <f>""</f>
      </c>
      <c r="C413" s="1" t="str">
        <f>"BILLY BRYANT BARN"</f>
        <v>BILLY BRYANT BARN</v>
      </c>
      <c r="D413" s="1" t="str">
        <f>"275 Harvey Mitchell Pw. S."</f>
        <v>275 Harvey Mitchell Pw. S.</v>
      </c>
      <c r="E413" s="1" t="str">
        <f t="shared" si="16"/>
        <v>College Station</v>
      </c>
      <c r="F413" s="1" t="str">
        <f t="shared" si="15"/>
        <v>77843</v>
      </c>
      <c r="G413" t="s">
        <v>9</v>
      </c>
    </row>
    <row r="414" spans="1:7" ht="15" customHeight="1">
      <c r="A414" s="1" t="str">
        <f>"1150"</f>
        <v>1150</v>
      </c>
      <c r="B414" s="1">
        <f>""</f>
      </c>
      <c r="C414" s="1" t="str">
        <f>"PARSONS MOUNTED CAV. TACK ROOM"</f>
        <v>PARSONS MOUNTED CAV. TACK ROOM</v>
      </c>
      <c r="D414" s="1" t="str">
        <f>"277 Harvey Mitchell Pw. S."</f>
        <v>277 Harvey Mitchell Pw. S.</v>
      </c>
      <c r="E414" s="1" t="str">
        <f t="shared" si="16"/>
        <v>College Station</v>
      </c>
      <c r="F414" s="1" t="str">
        <f t="shared" si="15"/>
        <v>77843</v>
      </c>
      <c r="G414" t="s">
        <v>9</v>
      </c>
    </row>
    <row r="415" spans="1:7" ht="15" customHeight="1">
      <c r="A415" s="1" t="str">
        <f>"1151"</f>
        <v>1151</v>
      </c>
      <c r="B415" s="1" t="str">
        <f>"EQCT"</f>
        <v>EQCT</v>
      </c>
      <c r="C415" s="1" t="str">
        <f>"EQUINE CENTER STABLE"</f>
        <v>EQUINE CENTER STABLE</v>
      </c>
      <c r="D415" s="1" t="str">
        <f>"7806 Turkey Creek Rd."</f>
        <v>7806 Turkey Creek Rd.</v>
      </c>
      <c r="E415" s="1" t="str">
        <f t="shared" si="16"/>
        <v>College Station</v>
      </c>
      <c r="F415" s="1" t="str">
        <f t="shared" si="15"/>
        <v>77843</v>
      </c>
      <c r="G415" t="s">
        <v>9</v>
      </c>
    </row>
    <row r="416" spans="1:7" ht="15" customHeight="1">
      <c r="A416" s="1" t="str">
        <f>"1152"</f>
        <v>1152</v>
      </c>
      <c r="B416" s="1">
        <f>""</f>
      </c>
      <c r="C416" s="1" t="str">
        <f>"EQUINE CENTER RESTROOM"</f>
        <v>EQUINE CENTER RESTROOM</v>
      </c>
      <c r="D416" s="1">
        <f>""</f>
      </c>
      <c r="E416" s="1" t="str">
        <f t="shared" si="16"/>
        <v>College Station</v>
      </c>
      <c r="F416" s="1" t="str">
        <f t="shared" si="15"/>
        <v>77843</v>
      </c>
      <c r="G416" t="s">
        <v>8</v>
      </c>
    </row>
    <row r="417" spans="1:7" ht="15" customHeight="1">
      <c r="A417" s="1" t="str">
        <f>"1153"</f>
        <v>1153</v>
      </c>
      <c r="B417" s="1" t="str">
        <f>"FREE"</f>
        <v>FREE</v>
      </c>
      <c r="C417" s="1" t="str">
        <f>"FREEMAN ARENA"</f>
        <v>FREEMAN ARENA</v>
      </c>
      <c r="D417" s="1" t="str">
        <f>"7802 Turkey Creek Rd."</f>
        <v>7802 Turkey Creek Rd.</v>
      </c>
      <c r="E417" s="1" t="str">
        <f t="shared" si="16"/>
        <v>College Station</v>
      </c>
      <c r="F417" s="1" t="str">
        <f t="shared" si="15"/>
        <v>77843</v>
      </c>
      <c r="G417" t="s">
        <v>9</v>
      </c>
    </row>
    <row r="418" spans="1:7" ht="15" customHeight="1">
      <c r="A418" s="1" t="str">
        <f>"1154"</f>
        <v>1154</v>
      </c>
      <c r="B418" s="1">
        <f>""</f>
      </c>
      <c r="C418" s="1" t="str">
        <f>"ELECTRICAL DISTRIBUTION STORAGE"</f>
        <v>ELECTRICAL DISTRIBUTION STORAGE</v>
      </c>
      <c r="D418" s="1">
        <f>""</f>
      </c>
      <c r="E418" s="1" t="str">
        <f t="shared" si="16"/>
        <v>College Station</v>
      </c>
      <c r="F418" s="1" t="str">
        <f t="shared" si="15"/>
        <v>77843</v>
      </c>
      <c r="G418" t="s">
        <v>8</v>
      </c>
    </row>
    <row r="419" spans="1:7" ht="15" customHeight="1">
      <c r="A419" s="1" t="str">
        <f>"1156"</f>
        <v>1156</v>
      </c>
      <c r="B419" s="1" t="str">
        <f>"PLNT"</f>
        <v>PLNT</v>
      </c>
      <c r="C419" s="1" t="str">
        <f>"PHYSICAL PLANT ADMINISTRATION &amp; SHOPS"</f>
        <v>PHYSICAL PLANT ADMINISTRATION &amp; SHOPS</v>
      </c>
      <c r="D419" s="1" t="str">
        <f>"600 Agronomy Rd."</f>
        <v>600 Agronomy Rd.</v>
      </c>
      <c r="E419" s="1" t="str">
        <f t="shared" si="16"/>
        <v>College Station</v>
      </c>
      <c r="F419" s="1" t="str">
        <f t="shared" si="15"/>
        <v>77843</v>
      </c>
      <c r="G419" t="s">
        <v>9</v>
      </c>
    </row>
    <row r="420" spans="1:7" ht="15" customHeight="1">
      <c r="A420" s="1" t="str">
        <f>"1157"</f>
        <v>1157</v>
      </c>
      <c r="B420" s="1">
        <f>""</f>
      </c>
      <c r="C420" s="1" t="str">
        <f>"WAREHOUSE"</f>
        <v>WAREHOUSE</v>
      </c>
      <c r="D420" s="1" t="str">
        <f>"602 Agronomy Rd."</f>
        <v>602 Agronomy Rd.</v>
      </c>
      <c r="E420" s="1" t="str">
        <f t="shared" si="16"/>
        <v>College Station</v>
      </c>
      <c r="F420" s="1" t="str">
        <f t="shared" si="15"/>
        <v>77843</v>
      </c>
      <c r="G420" t="s">
        <v>9</v>
      </c>
    </row>
    <row r="421" spans="1:7" ht="15" customHeight="1">
      <c r="A421" s="1" t="str">
        <f>"1158"</f>
        <v>1158</v>
      </c>
      <c r="B421" s="1">
        <f>""</f>
      </c>
      <c r="C421" s="1" t="str">
        <f>"EQUINE GAIT ANALYSIS BLDG"</f>
        <v>EQUINE GAIT ANALYSIS BLDG</v>
      </c>
      <c r="D421" s="1">
        <f>""</f>
      </c>
      <c r="E421" s="1" t="str">
        <f t="shared" si="16"/>
        <v>College Station</v>
      </c>
      <c r="F421" s="1" t="str">
        <f t="shared" si="15"/>
        <v>77843</v>
      </c>
      <c r="G421" t="s">
        <v>8</v>
      </c>
    </row>
    <row r="422" spans="1:7" ht="15" customHeight="1">
      <c r="A422" s="1" t="str">
        <f>"1160"</f>
        <v>1160</v>
      </c>
      <c r="B422" s="1" t="str">
        <f>"PRPV"</f>
        <v>PRPV</v>
      </c>
      <c r="C422" s="1" t="str">
        <f>"PEARCE ANIMAL PAVILION"</f>
        <v>PEARCE ANIMAL PAVILION</v>
      </c>
      <c r="D422" s="1" t="str">
        <f>"555 George Bush Dr. W."</f>
        <v>555 George Bush Dr. W.</v>
      </c>
      <c r="E422" s="1" t="str">
        <f t="shared" si="16"/>
        <v>College Station</v>
      </c>
      <c r="F422" s="1" t="str">
        <f t="shared" si="15"/>
        <v>77843</v>
      </c>
      <c r="G422" t="s">
        <v>9</v>
      </c>
    </row>
    <row r="423" spans="1:7" ht="15" customHeight="1">
      <c r="A423" s="1" t="str">
        <f>"1161"</f>
        <v>1161</v>
      </c>
      <c r="B423" s="1">
        <f>""</f>
      </c>
      <c r="C423" s="1" t="str">
        <f>"REED HOUSE"</f>
        <v>REED HOUSE</v>
      </c>
      <c r="D423" s="1" t="str">
        <f>"1 Reed Dr."</f>
        <v>1 Reed Dr.</v>
      </c>
      <c r="E423" s="1" t="str">
        <f t="shared" si="16"/>
        <v>College Station</v>
      </c>
      <c r="F423" s="1" t="str">
        <f t="shared" si="15"/>
        <v>77843</v>
      </c>
      <c r="G423" t="s">
        <v>9</v>
      </c>
    </row>
    <row r="424" spans="1:7" ht="15" customHeight="1">
      <c r="A424" s="1" t="str">
        <f>"1165"</f>
        <v>1165</v>
      </c>
      <c r="B424" s="1">
        <f>""</f>
      </c>
      <c r="C424" s="1" t="str">
        <f>"HAZARDOUS WASTE STORAGE BLDG"</f>
        <v>HAZARDOUS WASTE STORAGE BLDG</v>
      </c>
      <c r="D424" s="1" t="str">
        <f>"2655 Dairy Center Rd."</f>
        <v>2655 Dairy Center Rd.</v>
      </c>
      <c r="E424" s="1" t="str">
        <f t="shared" si="16"/>
        <v>College Station</v>
      </c>
      <c r="F424" s="1" t="str">
        <f t="shared" si="15"/>
        <v>77843</v>
      </c>
      <c r="G424" t="s">
        <v>9</v>
      </c>
    </row>
    <row r="425" spans="1:7" ht="15" customHeight="1">
      <c r="A425" s="1" t="str">
        <f>"1166"</f>
        <v>1166</v>
      </c>
      <c r="B425" s="1">
        <f>""</f>
      </c>
      <c r="C425" s="1" t="str">
        <f>"CUSE-SPECIAL PROJECT LAB &amp; STORAGE"</f>
        <v>CUSE-SPECIAL PROJECT LAB &amp; STORAGE</v>
      </c>
      <c r="D425" s="1">
        <f>""</f>
      </c>
      <c r="E425" s="1" t="str">
        <f t="shared" si="16"/>
        <v>College Station</v>
      </c>
      <c r="F425" s="1" t="str">
        <f t="shared" si="15"/>
        <v>77843</v>
      </c>
      <c r="G425" t="s">
        <v>8</v>
      </c>
    </row>
    <row r="426" spans="1:7" ht="15" customHeight="1">
      <c r="A426" s="1" t="str">
        <f>"1167"</f>
        <v>1167</v>
      </c>
      <c r="B426" s="1">
        <f>""</f>
      </c>
      <c r="C426" s="1" t="str">
        <f>"CUSE-INSECT TESTING LAB"</f>
        <v>CUSE-INSECT TESTING LAB</v>
      </c>
      <c r="D426" s="1" t="str">
        <f>"170 Agronomy Rd."</f>
        <v>170 Agronomy Rd.</v>
      </c>
      <c r="E426" s="1" t="str">
        <f t="shared" si="16"/>
        <v>College Station</v>
      </c>
      <c r="F426" s="1" t="str">
        <f t="shared" si="15"/>
        <v>77843</v>
      </c>
      <c r="G426" t="s">
        <v>9</v>
      </c>
    </row>
    <row r="427" spans="1:7" ht="15" customHeight="1">
      <c r="A427" s="1" t="str">
        <f>"1168"</f>
        <v>1168</v>
      </c>
      <c r="B427" s="1">
        <f>""</f>
      </c>
      <c r="C427" s="1" t="str">
        <f>"CUSE-SHOP &amp; STORAGE"</f>
        <v>CUSE-SHOP &amp; STORAGE</v>
      </c>
      <c r="D427" s="1">
        <f>""</f>
      </c>
      <c r="E427" s="1" t="str">
        <f t="shared" si="16"/>
        <v>College Station</v>
      </c>
      <c r="F427" s="1" t="str">
        <f t="shared" si="15"/>
        <v>77843</v>
      </c>
      <c r="G427" t="s">
        <v>8</v>
      </c>
    </row>
    <row r="428" spans="1:7" ht="15" customHeight="1">
      <c r="A428" s="1" t="str">
        <f>"1169"</f>
        <v>1169</v>
      </c>
      <c r="B428" s="1">
        <f>""</f>
      </c>
      <c r="C428" s="1" t="str">
        <f>"CUSE-TOXICOLOGY HUT"</f>
        <v>CUSE-TOXICOLOGY HUT</v>
      </c>
      <c r="D428" s="1">
        <f>""</f>
      </c>
      <c r="E428" s="1" t="str">
        <f t="shared" si="16"/>
        <v>College Station</v>
      </c>
      <c r="F428" s="1" t="str">
        <f t="shared" si="15"/>
        <v>77843</v>
      </c>
      <c r="G428" t="s">
        <v>8</v>
      </c>
    </row>
    <row r="429" spans="1:7" ht="15" customHeight="1">
      <c r="A429" s="1" t="str">
        <f>"1171"</f>
        <v>1171</v>
      </c>
      <c r="B429" s="1">
        <f>""</f>
      </c>
      <c r="C429" s="1" t="str">
        <f>"RADIOACTIVE WASTE BUILDING"</f>
        <v>RADIOACTIVE WASTE BUILDING</v>
      </c>
      <c r="D429" s="1" t="str">
        <f>"2528 Nuclear Science Rd."</f>
        <v>2528 Nuclear Science Rd.</v>
      </c>
      <c r="E429" s="1" t="str">
        <f t="shared" si="16"/>
        <v>College Station</v>
      </c>
      <c r="F429" s="1" t="str">
        <f t="shared" si="15"/>
        <v>77843</v>
      </c>
      <c r="G429" t="s">
        <v>9</v>
      </c>
    </row>
    <row r="430" spans="1:7" ht="15" customHeight="1">
      <c r="A430" s="1" t="str">
        <f>"1172"</f>
        <v>1172</v>
      </c>
      <c r="B430" s="1">
        <f>""</f>
      </c>
      <c r="C430" s="1" t="str">
        <f>"FLAMMABLE MAT STORAGE"</f>
        <v>FLAMMABLE MAT STORAGE</v>
      </c>
      <c r="D430" s="1">
        <f>""</f>
      </c>
      <c r="E430" s="1" t="str">
        <f t="shared" si="16"/>
        <v>College Station</v>
      </c>
      <c r="F430" s="1" t="str">
        <f t="shared" si="15"/>
        <v>77843</v>
      </c>
      <c r="G430" t="s">
        <v>8</v>
      </c>
    </row>
    <row r="431" spans="1:7" ht="15" customHeight="1">
      <c r="A431" s="1" t="str">
        <f>"1173"</f>
        <v>1173</v>
      </c>
      <c r="B431" s="1">
        <f>""</f>
      </c>
      <c r="C431" s="1" t="str">
        <f>"SOIL &amp; CROP GREENHOUSE"</f>
        <v>SOIL &amp; CROP GREENHOUSE</v>
      </c>
      <c r="D431" s="1">
        <f>""</f>
      </c>
      <c r="E431" s="1" t="str">
        <f t="shared" si="16"/>
        <v>College Station</v>
      </c>
      <c r="F431" s="1" t="str">
        <f t="shared" si="15"/>
        <v>77843</v>
      </c>
      <c r="G431" t="s">
        <v>8</v>
      </c>
    </row>
    <row r="432" spans="1:7" ht="15" customHeight="1">
      <c r="A432" s="1" t="str">
        <f>"1176"</f>
        <v>1176</v>
      </c>
      <c r="B432" s="1">
        <f>""</f>
      </c>
      <c r="C432" s="1" t="str">
        <f>"HORT/FS GREENHOUSE"</f>
        <v>HORT/FS GREENHOUSE</v>
      </c>
      <c r="D432" s="1">
        <f>""</f>
      </c>
      <c r="E432" s="1" t="str">
        <f t="shared" si="16"/>
        <v>College Station</v>
      </c>
      <c r="F432" s="1" t="str">
        <f t="shared" si="15"/>
        <v>77843</v>
      </c>
      <c r="G432" t="s">
        <v>8</v>
      </c>
    </row>
    <row r="433" spans="1:7" ht="15" customHeight="1">
      <c r="A433" s="1" t="str">
        <f>"1177"</f>
        <v>1177</v>
      </c>
      <c r="B433" s="1">
        <f>""</f>
      </c>
      <c r="C433" s="1" t="str">
        <f>"HORT/FS GREENHOUSE"</f>
        <v>HORT/FS GREENHOUSE</v>
      </c>
      <c r="D433" s="1">
        <f>""</f>
      </c>
      <c r="E433" s="1" t="str">
        <f t="shared" si="16"/>
        <v>College Station</v>
      </c>
      <c r="F433" s="1" t="str">
        <f t="shared" si="15"/>
        <v>77843</v>
      </c>
      <c r="G433" t="s">
        <v>8</v>
      </c>
    </row>
    <row r="434" spans="1:7" ht="15" customHeight="1">
      <c r="A434" s="1" t="str">
        <f>"1178"</f>
        <v>1178</v>
      </c>
      <c r="B434" s="1">
        <f>""</f>
      </c>
      <c r="C434" s="1" t="str">
        <f>"HORT/FS GREENHOUSE"</f>
        <v>HORT/FS GREENHOUSE</v>
      </c>
      <c r="D434" s="1">
        <f>""</f>
      </c>
      <c r="E434" s="1" t="str">
        <f t="shared" si="16"/>
        <v>College Station</v>
      </c>
      <c r="F434" s="1" t="str">
        <f t="shared" si="15"/>
        <v>77843</v>
      </c>
      <c r="G434" t="s">
        <v>8</v>
      </c>
    </row>
    <row r="435" spans="1:7" ht="15" customHeight="1">
      <c r="A435" s="1" t="str">
        <f>"1179"</f>
        <v>1179</v>
      </c>
      <c r="B435" s="1">
        <f>""</f>
      </c>
      <c r="C435" s="1" t="str">
        <f>"FOREST SCIENCE GREENHOUSE"</f>
        <v>FOREST SCIENCE GREENHOUSE</v>
      </c>
      <c r="D435" s="1">
        <f>""</f>
      </c>
      <c r="E435" s="1" t="str">
        <f t="shared" si="16"/>
        <v>College Station</v>
      </c>
      <c r="F435" s="1" t="str">
        <f t="shared" si="15"/>
        <v>77843</v>
      </c>
      <c r="G435" t="s">
        <v>8</v>
      </c>
    </row>
    <row r="436" spans="1:7" ht="15" customHeight="1">
      <c r="A436" s="1" t="str">
        <f>"1180"</f>
        <v>1180</v>
      </c>
      <c r="B436" s="1">
        <f>""</f>
      </c>
      <c r="C436" s="1" t="str">
        <f>"FLORICULTURE FARM STORAGE BLDG."</f>
        <v>FLORICULTURE FARM STORAGE BLDG.</v>
      </c>
      <c r="D436" s="1">
        <f>""</f>
      </c>
      <c r="E436" s="1" t="str">
        <f t="shared" si="16"/>
        <v>College Station</v>
      </c>
      <c r="F436" s="1" t="str">
        <f t="shared" si="15"/>
        <v>77843</v>
      </c>
      <c r="G436" t="s">
        <v>8</v>
      </c>
    </row>
    <row r="437" spans="1:7" ht="15" customHeight="1">
      <c r="A437" s="1" t="str">
        <f>"1183"</f>
        <v>1183</v>
      </c>
      <c r="B437" s="1">
        <f>""</f>
      </c>
      <c r="C437" s="1" t="str">
        <f>"RANGE SCIENCE FIELD LAB"</f>
        <v>RANGE SCIENCE FIELD LAB</v>
      </c>
      <c r="D437" s="1" t="str">
        <f>"2540 Nuclear Science Rd."</f>
        <v>2540 Nuclear Science Rd.</v>
      </c>
      <c r="E437" s="1" t="str">
        <f t="shared" si="16"/>
        <v>College Station</v>
      </c>
      <c r="F437" s="1" t="str">
        <f t="shared" si="15"/>
        <v>77843</v>
      </c>
      <c r="G437" t="s">
        <v>9</v>
      </c>
    </row>
    <row r="438" spans="1:7" ht="15" customHeight="1">
      <c r="A438" s="1" t="str">
        <f>"1184"</f>
        <v>1184</v>
      </c>
      <c r="B438" s="1" t="str">
        <f>"VAPA"</f>
        <v>VAPA</v>
      </c>
      <c r="C438" s="1" t="str">
        <f>"Veterinary Anatomic Pathology"</f>
        <v>Veterinary Anatomic Pathology</v>
      </c>
      <c r="D438" s="1" t="str">
        <f>"211 Sippel Rd."</f>
        <v>211 Sippel Rd.</v>
      </c>
      <c r="E438" s="1" t="str">
        <f t="shared" si="16"/>
        <v>College Station</v>
      </c>
      <c r="F438" s="1" t="str">
        <f t="shared" si="15"/>
        <v>77843</v>
      </c>
      <c r="G438" t="s">
        <v>9</v>
      </c>
    </row>
    <row r="439" spans="1:7" ht="15" customHeight="1">
      <c r="A439" s="1" t="str">
        <f>"1185"</f>
        <v>1185</v>
      </c>
      <c r="B439" s="1">
        <f>""</f>
      </c>
      <c r="C439" s="1" t="str">
        <f>"PARSONS CAV CARETAKER FACILITY"</f>
        <v>PARSONS CAV CARETAKER FACILITY</v>
      </c>
      <c r="D439" s="1" t="str">
        <f>"279 Harvey Mitchell Pw. S."</f>
        <v>279 Harvey Mitchell Pw. S.</v>
      </c>
      <c r="E439" s="1" t="str">
        <f t="shared" si="16"/>
        <v>College Station</v>
      </c>
      <c r="F439" s="1" t="str">
        <f t="shared" si="15"/>
        <v>77843</v>
      </c>
      <c r="G439" t="s">
        <v>9</v>
      </c>
    </row>
    <row r="440" spans="1:7" ht="15" customHeight="1">
      <c r="A440" s="1" t="str">
        <f>"1186"</f>
        <v>1186</v>
      </c>
      <c r="B440" s="1">
        <f>""</f>
      </c>
      <c r="C440" s="1" t="str">
        <f>"TVMC-ISOLATION LABORATORY"</f>
        <v>TVMC-ISOLATION LABORATORY</v>
      </c>
      <c r="D440" s="1" t="str">
        <f>"550 Raymond Stotzer Pw."</f>
        <v>550 Raymond Stotzer Pw.</v>
      </c>
      <c r="E440" s="1" t="str">
        <f t="shared" si="16"/>
        <v>College Station</v>
      </c>
      <c r="F440" s="1" t="str">
        <f t="shared" si="15"/>
        <v>77843</v>
      </c>
      <c r="G440" t="s">
        <v>9</v>
      </c>
    </row>
    <row r="441" spans="1:7" ht="15" customHeight="1">
      <c r="A441" s="1" t="str">
        <f>"1187"</f>
        <v>1187</v>
      </c>
      <c r="B441" s="1" t="str">
        <f>"LFB"</f>
        <v>LFB</v>
      </c>
      <c r="C441" s="1" t="str">
        <f>"W.P. LUSE FOUNDATION BUILDING"</f>
        <v>W.P. LUSE FOUNDATION BUILDING</v>
      </c>
      <c r="D441" s="1" t="str">
        <f>"730 Raymond Stotzer Pw."</f>
        <v>730 Raymond Stotzer Pw.</v>
      </c>
      <c r="E441" s="1" t="str">
        <f t="shared" si="16"/>
        <v>College Station</v>
      </c>
      <c r="F441" s="1" t="str">
        <f t="shared" si="15"/>
        <v>77843</v>
      </c>
      <c r="G441" t="s">
        <v>9</v>
      </c>
    </row>
    <row r="442" spans="1:7" ht="15" customHeight="1">
      <c r="A442" s="1" t="str">
        <f>"1188"</f>
        <v>1188</v>
      </c>
      <c r="B442" s="1">
        <f>""</f>
      </c>
      <c r="C442" s="1" t="str">
        <f>"FOREST SCIENCE STORAGE"</f>
        <v>FOREST SCIENCE STORAGE</v>
      </c>
      <c r="D442" s="1">
        <f>""</f>
      </c>
      <c r="E442" s="1" t="str">
        <f t="shared" si="16"/>
        <v>College Station</v>
      </c>
      <c r="F442" s="1" t="str">
        <f t="shared" si="15"/>
        <v>77843</v>
      </c>
      <c r="G442" t="s">
        <v>8</v>
      </c>
    </row>
    <row r="443" spans="1:7" ht="15" customHeight="1">
      <c r="A443" s="1" t="str">
        <f>"1190"</f>
        <v>1190</v>
      </c>
      <c r="B443" s="1">
        <f>""</f>
      </c>
      <c r="C443" s="1" t="str">
        <f>"FLORICULTURE RESEARCH GREENHSE"</f>
        <v>FLORICULTURE RESEARCH GREENHSE</v>
      </c>
      <c r="D443" s="1" t="str">
        <f>"555 Floriculture Rd."</f>
        <v>555 Floriculture Rd.</v>
      </c>
      <c r="E443" s="1" t="str">
        <f t="shared" si="16"/>
        <v>College Station</v>
      </c>
      <c r="F443" s="1" t="str">
        <f t="shared" si="15"/>
        <v>77843</v>
      </c>
      <c r="G443" t="s">
        <v>9</v>
      </c>
    </row>
    <row r="444" spans="1:7" ht="15" customHeight="1">
      <c r="A444" s="1" t="str">
        <f>"1191"</f>
        <v>1191</v>
      </c>
      <c r="B444" s="1">
        <f>""</f>
      </c>
      <c r="C444" s="1" t="str">
        <f>"FLORICULTURE GROWING FACILITY"</f>
        <v>FLORICULTURE GROWING FACILITY</v>
      </c>
      <c r="D444" s="1" t="str">
        <f>"561 Floriculture Rd."</f>
        <v>561 Floriculture Rd.</v>
      </c>
      <c r="E444" s="1" t="str">
        <f t="shared" si="16"/>
        <v>College Station</v>
      </c>
      <c r="F444" s="1" t="str">
        <f t="shared" si="15"/>
        <v>77843</v>
      </c>
      <c r="G444" t="s">
        <v>9</v>
      </c>
    </row>
    <row r="445" spans="1:7" ht="15" customHeight="1">
      <c r="A445" s="1" t="str">
        <f>"1192"</f>
        <v>1192</v>
      </c>
      <c r="B445" s="1" t="str">
        <f>"VMSB"</f>
        <v>VMSB</v>
      </c>
      <c r="C445" s="1" t="str">
        <f>"TVMC-SURGERY BUILDING"</f>
        <v>TVMC-SURGERY BUILDING</v>
      </c>
      <c r="D445" s="1" t="str">
        <f>"510 Turk Rd."</f>
        <v>510 Turk Rd.</v>
      </c>
      <c r="E445" s="1" t="str">
        <f t="shared" si="16"/>
        <v>College Station</v>
      </c>
      <c r="F445" s="1" t="str">
        <f aca="true" t="shared" si="17" ref="F445:F508">"77843"</f>
        <v>77843</v>
      </c>
      <c r="G445" t="s">
        <v>9</v>
      </c>
    </row>
    <row r="446" spans="1:7" ht="15" customHeight="1">
      <c r="A446" s="1" t="str">
        <f>"1193"</f>
        <v>1193</v>
      </c>
      <c r="B446" s="1">
        <f>""</f>
      </c>
      <c r="C446" s="1" t="str">
        <f>"WILDLIFE &amp; EXOTIC ANIMAL CTR"</f>
        <v>WILDLIFE &amp; EXOTIC ANIMAL CTR</v>
      </c>
      <c r="D446" s="1" t="str">
        <f>"2765 F &amp; B Rd."</f>
        <v>2765 F &amp; B Rd.</v>
      </c>
      <c r="E446" s="1" t="str">
        <f t="shared" si="16"/>
        <v>College Station</v>
      </c>
      <c r="F446" s="1" t="str">
        <f t="shared" si="17"/>
        <v>77843</v>
      </c>
      <c r="G446" t="s">
        <v>9</v>
      </c>
    </row>
    <row r="447" spans="1:7" ht="15" customHeight="1">
      <c r="A447" s="1" t="str">
        <f>"1194"</f>
        <v>1194</v>
      </c>
      <c r="B447" s="1" t="str">
        <f>"VLAH"</f>
        <v>VLAH</v>
      </c>
      <c r="C447" s="1" t="str">
        <f>"VETERINARY LARGE ANIMAL HOSPITAL"</f>
        <v>VETERINARY LARGE ANIMAL HOSPITAL</v>
      </c>
      <c r="D447" s="1" t="str">
        <f>"500 Raymond Stotzer Pw."</f>
        <v>500 Raymond Stotzer Pw.</v>
      </c>
      <c r="E447" s="1" t="str">
        <f t="shared" si="16"/>
        <v>College Station</v>
      </c>
      <c r="F447" s="1" t="str">
        <f t="shared" si="17"/>
        <v>77843</v>
      </c>
      <c r="G447" t="s">
        <v>9</v>
      </c>
    </row>
    <row r="448" spans="1:7" ht="15" customHeight="1">
      <c r="A448" s="1" t="str">
        <f>"1195"</f>
        <v>1195</v>
      </c>
      <c r="B448" s="1">
        <f>""</f>
      </c>
      <c r="C448" s="1" t="str">
        <f>"NON SURGICAL ANIMAL PROCEDURE"</f>
        <v>NON SURGICAL ANIMAL PROCEDURE</v>
      </c>
      <c r="D448" s="1" t="str">
        <f>"544 Turk Rd."</f>
        <v>544 Turk Rd.</v>
      </c>
      <c r="E448" s="1" t="str">
        <f t="shared" si="16"/>
        <v>College Station</v>
      </c>
      <c r="F448" s="1" t="str">
        <f t="shared" si="17"/>
        <v>77843</v>
      </c>
      <c r="G448" t="s">
        <v>9</v>
      </c>
    </row>
    <row r="449" spans="1:7" ht="15" customHeight="1">
      <c r="A449" s="1" t="str">
        <f>"1196"</f>
        <v>1196</v>
      </c>
      <c r="B449" s="1">
        <f>""</f>
      </c>
      <c r="C449" s="1" t="str">
        <f>"ANIMAL HOUSING UNIT"</f>
        <v>ANIMAL HOUSING UNIT</v>
      </c>
      <c r="D449" s="1">
        <f>""</f>
      </c>
      <c r="E449" s="1" t="str">
        <f t="shared" si="16"/>
        <v>College Station</v>
      </c>
      <c r="F449" s="1" t="str">
        <f t="shared" si="17"/>
        <v>77843</v>
      </c>
      <c r="G449" t="s">
        <v>8</v>
      </c>
    </row>
    <row r="450" spans="1:7" ht="15" customHeight="1">
      <c r="A450" s="1" t="str">
        <f>"1197"</f>
        <v>1197</v>
      </c>
      <c r="B450" s="1" t="str">
        <f>"VRB"</f>
        <v>VRB</v>
      </c>
      <c r="C450" s="1" t="str">
        <f>"VETERINARY RESEARCH BUILDING"</f>
        <v>VETERINARY RESEARCH BUILDING</v>
      </c>
      <c r="D450" s="1" t="str">
        <f>"588 Raymond Stotzer Pw."</f>
        <v>588 Raymond Stotzer Pw.</v>
      </c>
      <c r="E450" s="1" t="str">
        <f aca="true" t="shared" si="18" ref="E450:E513">"College Station"</f>
        <v>College Station</v>
      </c>
      <c r="F450" s="1" t="str">
        <f t="shared" si="17"/>
        <v>77843</v>
      </c>
      <c r="G450" t="s">
        <v>9</v>
      </c>
    </row>
    <row r="451" spans="1:7" ht="15" customHeight="1">
      <c r="A451" s="1" t="str">
        <f>"1198"</f>
        <v>1198</v>
      </c>
      <c r="B451" s="1">
        <f>""</f>
      </c>
      <c r="C451" s="1" t="str">
        <f>"LARR SUPPORT PERSONNEL BLDG"</f>
        <v>LARR SUPPORT PERSONNEL BLDG</v>
      </c>
      <c r="D451" s="1" t="str">
        <f>"690 Turk Rd."</f>
        <v>690 Turk Rd.</v>
      </c>
      <c r="E451" s="1" t="str">
        <f t="shared" si="18"/>
        <v>College Station</v>
      </c>
      <c r="F451" s="1" t="str">
        <f t="shared" si="17"/>
        <v>77843</v>
      </c>
      <c r="G451" t="s">
        <v>9</v>
      </c>
    </row>
    <row r="452" spans="1:7" ht="15" customHeight="1">
      <c r="A452" s="1" t="str">
        <f>"1201"</f>
        <v>1201</v>
      </c>
      <c r="B452" s="1" t="str">
        <f>"FARM"</f>
        <v>FARM</v>
      </c>
      <c r="C452" s="1" t="str">
        <f>"POULTRY SCIENCE HEADQUARTERS"</f>
        <v>POULTRY SCIENCE HEADQUARTERS</v>
      </c>
      <c r="D452" s="1" t="str">
        <f>"1202 Harvey Mitchell Pw. S."</f>
        <v>1202 Harvey Mitchell Pw. S.</v>
      </c>
      <c r="E452" s="1" t="str">
        <f t="shared" si="18"/>
        <v>College Station</v>
      </c>
      <c r="F452" s="1" t="str">
        <f t="shared" si="17"/>
        <v>77843</v>
      </c>
      <c r="G452" t="s">
        <v>9</v>
      </c>
    </row>
    <row r="453" spans="1:7" ht="15" customHeight="1">
      <c r="A453" s="1" t="str">
        <f>"1202"</f>
        <v>1202</v>
      </c>
      <c r="B453" s="1" t="str">
        <f>"POSC"</f>
        <v>POSC</v>
      </c>
      <c r="C453" s="1" t="str">
        <f>"POULTRY SCI HANDLING &amp; JUDGING"</f>
        <v>POULTRY SCI HANDLING &amp; JUDGING</v>
      </c>
      <c r="D453" s="1">
        <f>""</f>
      </c>
      <c r="E453" s="1" t="str">
        <f t="shared" si="18"/>
        <v>College Station</v>
      </c>
      <c r="F453" s="1" t="str">
        <f t="shared" si="17"/>
        <v>77843</v>
      </c>
      <c r="G453" t="s">
        <v>8</v>
      </c>
    </row>
    <row r="454" spans="1:7" ht="15" customHeight="1">
      <c r="A454" s="1" t="str">
        <f>"1203"</f>
        <v>1203</v>
      </c>
      <c r="B454" s="1" t="str">
        <f>"PSNP"</f>
        <v>PSNP</v>
      </c>
      <c r="C454" s="1" t="str">
        <f>"POULTRY SCI NUTRITION &amp; PHYS"</f>
        <v>POULTRY SCI NUTRITION &amp; PHYS</v>
      </c>
      <c r="D454" s="1">
        <f>""</f>
      </c>
      <c r="E454" s="1" t="str">
        <f t="shared" si="18"/>
        <v>College Station</v>
      </c>
      <c r="F454" s="1" t="str">
        <f t="shared" si="17"/>
        <v>77843</v>
      </c>
      <c r="G454" t="s">
        <v>8</v>
      </c>
    </row>
    <row r="455" spans="1:7" ht="15" customHeight="1">
      <c r="A455" s="1" t="str">
        <f>"1204"</f>
        <v>1204</v>
      </c>
      <c r="B455" s="1">
        <f>""</f>
      </c>
      <c r="C455" s="1" t="str">
        <f>"POULTRY SCI ENVIRONMENTAL RES"</f>
        <v>POULTRY SCI ENVIRONMENTAL RES</v>
      </c>
      <c r="D455" s="1">
        <f>""</f>
      </c>
      <c r="E455" s="1" t="str">
        <f t="shared" si="18"/>
        <v>College Station</v>
      </c>
      <c r="F455" s="1" t="str">
        <f t="shared" si="17"/>
        <v>77843</v>
      </c>
      <c r="G455" t="s">
        <v>8</v>
      </c>
    </row>
    <row r="456" spans="1:7" ht="15" customHeight="1">
      <c r="A456" s="1" t="str">
        <f>"1205"</f>
        <v>1205</v>
      </c>
      <c r="B456" s="1">
        <f>""</f>
      </c>
      <c r="C456" s="1" t="str">
        <f>"POULTRY SCIENCE FEED MIXING"</f>
        <v>POULTRY SCIENCE FEED MIXING</v>
      </c>
      <c r="D456" s="1">
        <f>""</f>
      </c>
      <c r="E456" s="1" t="str">
        <f t="shared" si="18"/>
        <v>College Station</v>
      </c>
      <c r="F456" s="1" t="str">
        <f t="shared" si="17"/>
        <v>77843</v>
      </c>
      <c r="G456" t="s">
        <v>8</v>
      </c>
    </row>
    <row r="457" spans="1:7" ht="15" customHeight="1">
      <c r="A457" s="1" t="str">
        <f>"1206"</f>
        <v>1206</v>
      </c>
      <c r="B457" s="1">
        <f>""</f>
      </c>
      <c r="C457" s="1" t="str">
        <f>"POULTRY SCI EQUIPMENT STORAGE"</f>
        <v>POULTRY SCI EQUIPMENT STORAGE</v>
      </c>
      <c r="D457" s="1">
        <f>""</f>
      </c>
      <c r="E457" s="1" t="str">
        <f t="shared" si="18"/>
        <v>College Station</v>
      </c>
      <c r="F457" s="1" t="str">
        <f t="shared" si="17"/>
        <v>77843</v>
      </c>
      <c r="G457" t="s">
        <v>8</v>
      </c>
    </row>
    <row r="458" spans="1:7" ht="15" customHeight="1">
      <c r="A458" s="1" t="str">
        <f>"1207"</f>
        <v>1207</v>
      </c>
      <c r="B458" s="1">
        <f>""</f>
      </c>
      <c r="C458" s="1" t="str">
        <f>"POULTRY SCI REPRO &amp; EMBRYOLOGY"</f>
        <v>POULTRY SCI REPRO &amp; EMBRYOLOGY</v>
      </c>
      <c r="D458" s="1">
        <f>""</f>
      </c>
      <c r="E458" s="1" t="str">
        <f t="shared" si="18"/>
        <v>College Station</v>
      </c>
      <c r="F458" s="1" t="str">
        <f t="shared" si="17"/>
        <v>77843</v>
      </c>
      <c r="G458" t="s">
        <v>8</v>
      </c>
    </row>
    <row r="459" spans="1:7" ht="15" customHeight="1">
      <c r="A459" s="1" t="str">
        <f>"1208"</f>
        <v>1208</v>
      </c>
      <c r="B459" s="1">
        <f>""</f>
      </c>
      <c r="C459" s="1" t="str">
        <f>"POULTRY SCI COMPARATIVE REARING"</f>
        <v>POULTRY SCI COMPARATIVE REARING</v>
      </c>
      <c r="D459" s="1">
        <f>""</f>
      </c>
      <c r="E459" s="1" t="str">
        <f t="shared" si="18"/>
        <v>College Station</v>
      </c>
      <c r="F459" s="1" t="str">
        <f t="shared" si="17"/>
        <v>77843</v>
      </c>
      <c r="G459" t="s">
        <v>8</v>
      </c>
    </row>
    <row r="460" spans="1:7" ht="15" customHeight="1">
      <c r="A460" s="1" t="str">
        <f>"1209"</f>
        <v>1209</v>
      </c>
      <c r="B460" s="1">
        <f>""</f>
      </c>
      <c r="C460" s="1" t="str">
        <f>"POULTRY SCI INTEGRATED REPRO"</f>
        <v>POULTRY SCI INTEGRATED REPRO</v>
      </c>
      <c r="D460" s="1" t="str">
        <f>"1200 Harvey Mitchell Pw. S."</f>
        <v>1200 Harvey Mitchell Pw. S.</v>
      </c>
      <c r="E460" s="1" t="str">
        <f t="shared" si="18"/>
        <v>College Station</v>
      </c>
      <c r="F460" s="1" t="str">
        <f t="shared" si="17"/>
        <v>77843</v>
      </c>
      <c r="G460" t="s">
        <v>9</v>
      </c>
    </row>
    <row r="461" spans="1:7" ht="15" customHeight="1">
      <c r="A461" s="1" t="str">
        <f>"1210"</f>
        <v>1210</v>
      </c>
      <c r="B461" s="1">
        <f>""</f>
      </c>
      <c r="C461" s="1" t="str">
        <f>"PS INTENSIVE MGT &amp; REARING"</f>
        <v>PS INTENSIVE MGT &amp; REARING</v>
      </c>
      <c r="D461" s="1">
        <f>""</f>
      </c>
      <c r="E461" s="1" t="str">
        <f t="shared" si="18"/>
        <v>College Station</v>
      </c>
      <c r="F461" s="1" t="str">
        <f t="shared" si="17"/>
        <v>77843</v>
      </c>
      <c r="G461" t="s">
        <v>8</v>
      </c>
    </row>
    <row r="462" spans="1:7" ht="15" customHeight="1">
      <c r="A462" s="1" t="str">
        <f>"1211"</f>
        <v>1211</v>
      </c>
      <c r="B462" s="1">
        <f>""</f>
      </c>
      <c r="C462" s="1" t="str">
        <f>"POULTRY SCIENCE BROILER #1"</f>
        <v>POULTRY SCIENCE BROILER #1</v>
      </c>
      <c r="D462" s="1">
        <f>""</f>
      </c>
      <c r="E462" s="1" t="str">
        <f t="shared" si="18"/>
        <v>College Station</v>
      </c>
      <c r="F462" s="1" t="str">
        <f t="shared" si="17"/>
        <v>77843</v>
      </c>
      <c r="G462" t="s">
        <v>8</v>
      </c>
    </row>
    <row r="463" spans="1:7" ht="15" customHeight="1">
      <c r="A463" s="1" t="str">
        <f>"1212"</f>
        <v>1212</v>
      </c>
      <c r="B463" s="1">
        <f>""</f>
      </c>
      <c r="C463" s="1" t="str">
        <f>"POULTRY SCIENCE BROILER #2"</f>
        <v>POULTRY SCIENCE BROILER #2</v>
      </c>
      <c r="D463" s="1">
        <f>""</f>
      </c>
      <c r="E463" s="1" t="str">
        <f t="shared" si="18"/>
        <v>College Station</v>
      </c>
      <c r="F463" s="1" t="str">
        <f t="shared" si="17"/>
        <v>77843</v>
      </c>
      <c r="G463" t="s">
        <v>8</v>
      </c>
    </row>
    <row r="464" spans="1:7" ht="15" customHeight="1">
      <c r="A464" s="1" t="str">
        <f>"1213"</f>
        <v>1213</v>
      </c>
      <c r="B464" s="1">
        <f>""</f>
      </c>
      <c r="C464" s="1" t="str">
        <f>"POULTRY SCIENCE CAGED LAYER #1"</f>
        <v>POULTRY SCIENCE CAGED LAYER #1</v>
      </c>
      <c r="D464" s="1">
        <f>""</f>
      </c>
      <c r="E464" s="1" t="str">
        <f t="shared" si="18"/>
        <v>College Station</v>
      </c>
      <c r="F464" s="1" t="str">
        <f t="shared" si="17"/>
        <v>77843</v>
      </c>
      <c r="G464" t="s">
        <v>8</v>
      </c>
    </row>
    <row r="465" spans="1:7" ht="15" customHeight="1">
      <c r="A465" s="1" t="str">
        <f>"1214"</f>
        <v>1214</v>
      </c>
      <c r="B465" s="1">
        <f>""</f>
      </c>
      <c r="C465" s="1" t="str">
        <f>"POULTRY SCIENCE CAGED LAYER #2"</f>
        <v>POULTRY SCIENCE CAGED LAYER #2</v>
      </c>
      <c r="D465" s="1">
        <f>""</f>
      </c>
      <c r="E465" s="1" t="str">
        <f t="shared" si="18"/>
        <v>College Station</v>
      </c>
      <c r="F465" s="1" t="str">
        <f t="shared" si="17"/>
        <v>77843</v>
      </c>
      <c r="G465" t="s">
        <v>8</v>
      </c>
    </row>
    <row r="466" spans="1:7" ht="15" customHeight="1">
      <c r="A466" s="1" t="str">
        <f>"1215"</f>
        <v>1215</v>
      </c>
      <c r="B466" s="1">
        <f>""</f>
      </c>
      <c r="C466" s="1" t="str">
        <f>"PS ENVIRONMENTAL BIOTECHNOLOGY"</f>
        <v>PS ENVIRONMENTAL BIOTECHNOLOGY</v>
      </c>
      <c r="D466" s="1">
        <f>""</f>
      </c>
      <c r="E466" s="1" t="str">
        <f t="shared" si="18"/>
        <v>College Station</v>
      </c>
      <c r="F466" s="1" t="str">
        <f t="shared" si="17"/>
        <v>77843</v>
      </c>
      <c r="G466" t="s">
        <v>8</v>
      </c>
    </row>
    <row r="467" spans="1:7" ht="15" customHeight="1">
      <c r="A467" s="1" t="str">
        <f>"1216"</f>
        <v>1216</v>
      </c>
      <c r="B467" s="1">
        <f>""</f>
      </c>
      <c r="C467" s="1" t="str">
        <f>"PS GAMEBIRD REPRO &amp; MANAGEMENT"</f>
        <v>PS GAMEBIRD REPRO &amp; MANAGEMENT</v>
      </c>
      <c r="D467" s="1">
        <f>""</f>
      </c>
      <c r="E467" s="1" t="str">
        <f t="shared" si="18"/>
        <v>College Station</v>
      </c>
      <c r="F467" s="1" t="str">
        <f t="shared" si="17"/>
        <v>77843</v>
      </c>
      <c r="G467" t="s">
        <v>8</v>
      </c>
    </row>
    <row r="468" spans="1:7" ht="15" customHeight="1">
      <c r="A468" s="1" t="str">
        <f>"1217"</f>
        <v>1217</v>
      </c>
      <c r="B468" s="1">
        <f>""</f>
      </c>
      <c r="C468" s="1" t="str">
        <f>"PS GAMEBIRD REARING &amp; FLT PEN"</f>
        <v>PS GAMEBIRD REARING &amp; FLT PEN</v>
      </c>
      <c r="D468" s="1">
        <f>""</f>
      </c>
      <c r="E468" s="1" t="str">
        <f t="shared" si="18"/>
        <v>College Station</v>
      </c>
      <c r="F468" s="1" t="str">
        <f t="shared" si="17"/>
        <v>77843</v>
      </c>
      <c r="G468" t="s">
        <v>8</v>
      </c>
    </row>
    <row r="469" spans="1:7" ht="15" customHeight="1">
      <c r="A469" s="1" t="str">
        <f>"1218"</f>
        <v>1218</v>
      </c>
      <c r="B469" s="1">
        <f>""</f>
      </c>
      <c r="C469" s="1" t="str">
        <f>"REFUSE COLLECTION MAINTENANCE"</f>
        <v>REFUSE COLLECTION MAINTENANCE</v>
      </c>
      <c r="D469" s="1" t="str">
        <f>"1204 Harvey Mitchell Pw. S."</f>
        <v>1204 Harvey Mitchell Pw. S.</v>
      </c>
      <c r="E469" s="1" t="str">
        <f t="shared" si="18"/>
        <v>College Station</v>
      </c>
      <c r="F469" s="1" t="str">
        <f t="shared" si="17"/>
        <v>77843</v>
      </c>
      <c r="G469" t="s">
        <v>9</v>
      </c>
    </row>
    <row r="470" spans="1:7" ht="15" customHeight="1">
      <c r="A470" s="1" t="str">
        <f>"1220"</f>
        <v>1220</v>
      </c>
      <c r="B470" s="1">
        <f>""</f>
      </c>
      <c r="C470" s="1" t="str">
        <f>"TVMC-ANIMAL ISOLATION BLD #1"</f>
        <v>TVMC-ANIMAL ISOLATION BLD #1</v>
      </c>
      <c r="D470" s="1">
        <f>""</f>
      </c>
      <c r="E470" s="1" t="str">
        <f t="shared" si="18"/>
        <v>College Station</v>
      </c>
      <c r="F470" s="1" t="str">
        <f t="shared" si="17"/>
        <v>77843</v>
      </c>
      <c r="G470" t="s">
        <v>8</v>
      </c>
    </row>
    <row r="471" spans="1:7" ht="15" customHeight="1">
      <c r="A471" s="1" t="str">
        <f>"1221"</f>
        <v>1221</v>
      </c>
      <c r="B471" s="1">
        <f>""</f>
      </c>
      <c r="C471" s="1" t="str">
        <f>"TVMC-ANIMAL ISOLATION BLD #2"</f>
        <v>TVMC-ANIMAL ISOLATION BLD #2</v>
      </c>
      <c r="D471" s="1">
        <f>""</f>
      </c>
      <c r="E471" s="1" t="str">
        <f t="shared" si="18"/>
        <v>College Station</v>
      </c>
      <c r="F471" s="1" t="str">
        <f t="shared" si="17"/>
        <v>77843</v>
      </c>
      <c r="G471" t="s">
        <v>8</v>
      </c>
    </row>
    <row r="472" spans="1:7" ht="15" customHeight="1">
      <c r="A472" s="1" t="str">
        <f>"1222"</f>
        <v>1222</v>
      </c>
      <c r="B472" s="1">
        <f>""</f>
      </c>
      <c r="C472" s="1" t="str">
        <f>"TVMC-ANIMAL ISOLATION BLD #3"</f>
        <v>TVMC-ANIMAL ISOLATION BLD #3</v>
      </c>
      <c r="D472" s="1">
        <f>""</f>
      </c>
      <c r="E472" s="1" t="str">
        <f t="shared" si="18"/>
        <v>College Station</v>
      </c>
      <c r="F472" s="1" t="str">
        <f t="shared" si="17"/>
        <v>77843</v>
      </c>
      <c r="G472" t="s">
        <v>8</v>
      </c>
    </row>
    <row r="473" spans="1:7" ht="15" customHeight="1">
      <c r="A473" s="1" t="str">
        <f>"1223"</f>
        <v>1223</v>
      </c>
      <c r="B473" s="1">
        <f>""</f>
      </c>
      <c r="C473" s="1" t="str">
        <f>"TVMC-ANIMAL ISOLATION BLD #4"</f>
        <v>TVMC-ANIMAL ISOLATION BLD #4</v>
      </c>
      <c r="D473" s="1">
        <f>""</f>
      </c>
      <c r="E473" s="1" t="str">
        <f t="shared" si="18"/>
        <v>College Station</v>
      </c>
      <c r="F473" s="1" t="str">
        <f t="shared" si="17"/>
        <v>77843</v>
      </c>
      <c r="G473" t="s">
        <v>8</v>
      </c>
    </row>
    <row r="474" spans="1:7" ht="15" customHeight="1">
      <c r="A474" s="1" t="str">
        <f>"1224"</f>
        <v>1224</v>
      </c>
      <c r="B474" s="1">
        <f>""</f>
      </c>
      <c r="C474" s="1" t="str">
        <f>"TVMC-ANIMAL ISOLATION BLD #5"</f>
        <v>TVMC-ANIMAL ISOLATION BLD #5</v>
      </c>
      <c r="D474" s="1">
        <f>""</f>
      </c>
      <c r="E474" s="1" t="str">
        <f t="shared" si="18"/>
        <v>College Station</v>
      </c>
      <c r="F474" s="1" t="str">
        <f t="shared" si="17"/>
        <v>77843</v>
      </c>
      <c r="G474" t="s">
        <v>8</v>
      </c>
    </row>
    <row r="475" spans="1:7" ht="15" customHeight="1">
      <c r="A475" s="1" t="str">
        <f>"1225"</f>
        <v>1225</v>
      </c>
      <c r="B475" s="1">
        <f>""</f>
      </c>
      <c r="C475" s="1" t="str">
        <f>"TVMC-ANIMAL ISOLATION BLD #6"</f>
        <v>TVMC-ANIMAL ISOLATION BLD #6</v>
      </c>
      <c r="D475" s="1">
        <f>""</f>
      </c>
      <c r="E475" s="1" t="str">
        <f t="shared" si="18"/>
        <v>College Station</v>
      </c>
      <c r="F475" s="1" t="str">
        <f t="shared" si="17"/>
        <v>77843</v>
      </c>
      <c r="G475" t="s">
        <v>8</v>
      </c>
    </row>
    <row r="476" spans="1:7" ht="15" customHeight="1">
      <c r="A476" s="1" t="str">
        <f>"1226"</f>
        <v>1226</v>
      </c>
      <c r="B476" s="1">
        <f>""</f>
      </c>
      <c r="C476" s="1" t="str">
        <f>"TVMC-ANIMAL ISOLATION BLD #7"</f>
        <v>TVMC-ANIMAL ISOLATION BLD #7</v>
      </c>
      <c r="D476" s="1">
        <f>""</f>
      </c>
      <c r="E476" s="1" t="str">
        <f t="shared" si="18"/>
        <v>College Station</v>
      </c>
      <c r="F476" s="1" t="str">
        <f t="shared" si="17"/>
        <v>77843</v>
      </c>
      <c r="G476" t="s">
        <v>8</v>
      </c>
    </row>
    <row r="477" spans="1:7" ht="15" customHeight="1">
      <c r="A477" s="1" t="str">
        <f>"1227"</f>
        <v>1227</v>
      </c>
      <c r="B477" s="1">
        <f>""</f>
      </c>
      <c r="C477" s="1" t="str">
        <f>"TVMC-ANIMAL ISOLATION BLD #8"</f>
        <v>TVMC-ANIMAL ISOLATION BLD #8</v>
      </c>
      <c r="D477" s="1">
        <f>""</f>
      </c>
      <c r="E477" s="1" t="str">
        <f t="shared" si="18"/>
        <v>College Station</v>
      </c>
      <c r="F477" s="1" t="str">
        <f t="shared" si="17"/>
        <v>77843</v>
      </c>
      <c r="G477" t="s">
        <v>8</v>
      </c>
    </row>
    <row r="478" spans="1:7" ht="15" customHeight="1">
      <c r="A478" s="1" t="str">
        <f>"1228"</f>
        <v>1228</v>
      </c>
      <c r="B478" s="1">
        <f>""</f>
      </c>
      <c r="C478" s="1" t="str">
        <f>"TVMC-ANIMAL ISOLATION BLD #9"</f>
        <v>TVMC-ANIMAL ISOLATION BLD #9</v>
      </c>
      <c r="D478" s="1" t="str">
        <f>"965 Turk Rd."</f>
        <v>965 Turk Rd.</v>
      </c>
      <c r="E478" s="1" t="str">
        <f t="shared" si="18"/>
        <v>College Station</v>
      </c>
      <c r="F478" s="1" t="str">
        <f t="shared" si="17"/>
        <v>77843</v>
      </c>
      <c r="G478" t="s">
        <v>9</v>
      </c>
    </row>
    <row r="479" spans="1:7" ht="15" customHeight="1">
      <c r="A479" s="1" t="str">
        <f>"1229"</f>
        <v>1229</v>
      </c>
      <c r="B479" s="1">
        <f>""</f>
      </c>
      <c r="C479" s="1" t="str">
        <f>"SCHUBOT AVIARY BR FACILITY"</f>
        <v>SCHUBOT AVIARY BR FACILITY</v>
      </c>
      <c r="D479" s="1" t="str">
        <f>"521 Turk Rd."</f>
        <v>521 Turk Rd.</v>
      </c>
      <c r="E479" s="1" t="str">
        <f t="shared" si="18"/>
        <v>College Station</v>
      </c>
      <c r="F479" s="1" t="str">
        <f t="shared" si="17"/>
        <v>77843</v>
      </c>
      <c r="G479" t="s">
        <v>9</v>
      </c>
    </row>
    <row r="480" spans="1:7" ht="15" customHeight="1">
      <c r="A480" s="1" t="str">
        <f>"1232"</f>
        <v>1232</v>
      </c>
      <c r="B480" s="1" t="str">
        <f>"VMTF"</f>
        <v>VMTF</v>
      </c>
      <c r="C480" s="1" t="str">
        <f>"Theriogenology Facility, Equine Reproduction"</f>
        <v>Theriogenology Facility, Equine Reproduction</v>
      </c>
      <c r="D480" s="1" t="str">
        <f>"522 Raymond Stotzer Pw."</f>
        <v>522 Raymond Stotzer Pw.</v>
      </c>
      <c r="E480" s="1" t="str">
        <f t="shared" si="18"/>
        <v>College Station</v>
      </c>
      <c r="F480" s="1" t="str">
        <f t="shared" si="17"/>
        <v>77843</v>
      </c>
      <c r="G480" t="s">
        <v>9</v>
      </c>
    </row>
    <row r="481" spans="1:7" ht="15" customHeight="1">
      <c r="A481" s="1" t="str">
        <f>"1234"</f>
        <v>1234</v>
      </c>
      <c r="B481" s="1">
        <f>""</f>
      </c>
      <c r="C481" s="1" t="str">
        <f>"DRY FEED STORAGE FACILITY"</f>
        <v>DRY FEED STORAGE FACILITY</v>
      </c>
      <c r="D481" s="1" t="str">
        <f>"230 Raymond Stotzer Pw."</f>
        <v>230 Raymond Stotzer Pw.</v>
      </c>
      <c r="E481" s="1" t="str">
        <f t="shared" si="18"/>
        <v>College Station</v>
      </c>
      <c r="F481" s="1" t="str">
        <f t="shared" si="17"/>
        <v>77843</v>
      </c>
      <c r="G481" t="s">
        <v>9</v>
      </c>
    </row>
    <row r="482" spans="1:7" ht="15" customHeight="1">
      <c r="A482" s="1" t="str">
        <f>"1236"</f>
        <v>1236</v>
      </c>
      <c r="B482" s="1">
        <f>""</f>
      </c>
      <c r="C482" s="1" t="str">
        <f>"SMALL HORSE BARN"</f>
        <v>SMALL HORSE BARN</v>
      </c>
      <c r="D482" s="1">
        <f>""</f>
      </c>
      <c r="E482" s="1" t="str">
        <f t="shared" si="18"/>
        <v>College Station</v>
      </c>
      <c r="F482" s="1" t="str">
        <f t="shared" si="17"/>
        <v>77843</v>
      </c>
      <c r="G482" t="s">
        <v>8</v>
      </c>
    </row>
    <row r="483" spans="1:7" ht="15" customHeight="1">
      <c r="A483" s="1" t="str">
        <f>"1238"</f>
        <v>1238</v>
      </c>
      <c r="B483" s="1" t="str">
        <f>"OBSR"</f>
        <v>OBSR</v>
      </c>
      <c r="C483" s="1" t="str">
        <f>"ROBOTIC OBSERVATORY"</f>
        <v>ROBOTIC OBSERVATORY</v>
      </c>
      <c r="D483" s="1" t="str">
        <f>"2790 Nuclear Science Rd."</f>
        <v>2790 Nuclear Science Rd.</v>
      </c>
      <c r="E483" s="1" t="str">
        <f t="shared" si="18"/>
        <v>College Station</v>
      </c>
      <c r="F483" s="1" t="str">
        <f t="shared" si="17"/>
        <v>77843</v>
      </c>
      <c r="G483" t="s">
        <v>9</v>
      </c>
    </row>
    <row r="484" spans="1:7" ht="15" customHeight="1">
      <c r="A484" s="1" t="str">
        <f>"1239"</f>
        <v>1239</v>
      </c>
      <c r="B484" s="1" t="str">
        <f>"OBSV"</f>
        <v>OBSV</v>
      </c>
      <c r="C484" s="1" t="str">
        <f>"PHYSICS TEACHING OBSERVATORY"</f>
        <v>PHYSICS TEACHING OBSERVATORY</v>
      </c>
      <c r="D484" s="1" t="str">
        <f>"2788 Nuclear Science Rd."</f>
        <v>2788 Nuclear Science Rd.</v>
      </c>
      <c r="E484" s="1" t="str">
        <f t="shared" si="18"/>
        <v>College Station</v>
      </c>
      <c r="F484" s="1" t="str">
        <f t="shared" si="17"/>
        <v>77843</v>
      </c>
      <c r="G484" t="s">
        <v>9</v>
      </c>
    </row>
    <row r="485" spans="1:7" ht="15" customHeight="1">
      <c r="A485" s="1" t="str">
        <f>"1242"</f>
        <v>1242</v>
      </c>
      <c r="B485" s="1">
        <f>""</f>
      </c>
      <c r="C485" s="1" t="str">
        <f>"Utilities Water Operations Building F&amp;B Storage"</f>
        <v>Utilities Water Operations Building F&amp;B Storage</v>
      </c>
      <c r="D485" s="1">
        <f>""</f>
      </c>
      <c r="E485" s="1" t="str">
        <f t="shared" si="18"/>
        <v>College Station</v>
      </c>
      <c r="F485" s="1" t="str">
        <f t="shared" si="17"/>
        <v>77843</v>
      </c>
      <c r="G485" t="s">
        <v>8</v>
      </c>
    </row>
    <row r="486" spans="1:7" ht="15" customHeight="1">
      <c r="A486" s="1" t="str">
        <f>"1243"</f>
        <v>1243</v>
      </c>
      <c r="B486" s="1">
        <f>""</f>
      </c>
      <c r="C486" s="1" t="str">
        <f>"Plumbing Fabrication Shop"</f>
        <v>Plumbing Fabrication Shop</v>
      </c>
      <c r="D486" s="1">
        <f>""</f>
      </c>
      <c r="E486" s="1" t="str">
        <f t="shared" si="18"/>
        <v>College Station</v>
      </c>
      <c r="F486" s="1" t="str">
        <f t="shared" si="17"/>
        <v>77843</v>
      </c>
      <c r="G486" t="s">
        <v>8</v>
      </c>
    </row>
    <row r="487" spans="1:7" ht="15" customHeight="1">
      <c r="A487" s="1" t="str">
        <f>"1244"</f>
        <v>1244</v>
      </c>
      <c r="B487" s="1">
        <f>""</f>
      </c>
      <c r="C487" s="1" t="str">
        <f>"Utilities Inventory Warehouse Building 1"</f>
        <v>Utilities Inventory Warehouse Building 1</v>
      </c>
      <c r="D487" s="1" t="str">
        <f>"2750 F &amp; B Rd."</f>
        <v>2750 F &amp; B Rd.</v>
      </c>
      <c r="E487" s="1" t="str">
        <f t="shared" si="18"/>
        <v>College Station</v>
      </c>
      <c r="F487" s="1" t="str">
        <f t="shared" si="17"/>
        <v>77843</v>
      </c>
      <c r="G487" t="s">
        <v>9</v>
      </c>
    </row>
    <row r="488" spans="1:7" ht="15" customHeight="1">
      <c r="A488" s="1" t="str">
        <f>"1245"</f>
        <v>1245</v>
      </c>
      <c r="B488" s="1">
        <f>""</f>
      </c>
      <c r="C488" s="1" t="str">
        <f>"CABLE WIRE STORAGE"</f>
        <v>CABLE WIRE STORAGE</v>
      </c>
      <c r="D488" s="1">
        <f>""</f>
      </c>
      <c r="E488" s="1" t="str">
        <f t="shared" si="18"/>
        <v>College Station</v>
      </c>
      <c r="F488" s="1" t="str">
        <f t="shared" si="17"/>
        <v>77843</v>
      </c>
      <c r="G488" t="s">
        <v>8</v>
      </c>
    </row>
    <row r="489" spans="1:7" ht="15" customHeight="1">
      <c r="A489" s="1" t="str">
        <f>"1246"</f>
        <v>1246</v>
      </c>
      <c r="B489" s="1">
        <f>""</f>
      </c>
      <c r="C489" s="1" t="str">
        <f>"Generator Storage Building"</f>
        <v>Generator Storage Building</v>
      </c>
      <c r="D489" s="1">
        <f>""</f>
      </c>
      <c r="E489" s="1" t="str">
        <f t="shared" si="18"/>
        <v>College Station</v>
      </c>
      <c r="F489" s="1" t="str">
        <f t="shared" si="17"/>
        <v>77843</v>
      </c>
      <c r="G489" t="s">
        <v>8</v>
      </c>
    </row>
    <row r="490" spans="1:7" ht="15" customHeight="1">
      <c r="A490" s="1" t="str">
        <f>"1247"</f>
        <v>1247</v>
      </c>
      <c r="B490" s="1">
        <f>""</f>
      </c>
      <c r="C490" s="1" t="str">
        <f>"HAZARDOUS WASTE OFFICE &amp; SUPPORT BLDG"</f>
        <v>HAZARDOUS WASTE OFFICE &amp; SUPPORT BLDG</v>
      </c>
      <c r="D490" s="1">
        <f>""</f>
      </c>
      <c r="E490" s="1" t="str">
        <f t="shared" si="18"/>
        <v>College Station</v>
      </c>
      <c r="F490" s="1" t="str">
        <f t="shared" si="17"/>
        <v>77843</v>
      </c>
      <c r="G490" t="s">
        <v>8</v>
      </c>
    </row>
    <row r="491" spans="1:7" ht="15" customHeight="1">
      <c r="A491" s="1" t="str">
        <f>"1248"</f>
        <v>1248</v>
      </c>
      <c r="B491" s="1">
        <f>""</f>
      </c>
      <c r="C491" s="1" t="str">
        <f>"Transportation Car/Bus Wash building"</f>
        <v>Transportation Car/Bus Wash building</v>
      </c>
      <c r="D491" s="1">
        <f>""</f>
      </c>
      <c r="E491" s="1" t="str">
        <f t="shared" si="18"/>
        <v>College Station</v>
      </c>
      <c r="F491" s="1" t="str">
        <f t="shared" si="17"/>
        <v>77843</v>
      </c>
      <c r="G491" t="s">
        <v>8</v>
      </c>
    </row>
    <row r="492" spans="1:7" ht="15" customHeight="1">
      <c r="A492" s="1" t="str">
        <f>"1249"</f>
        <v>1249</v>
      </c>
      <c r="B492" s="1">
        <f>""</f>
      </c>
      <c r="C492" s="1" t="str">
        <f>"TELECOMMUNICATIONS OPTICAL REMOTE BUILDING"</f>
        <v>TELECOMMUNICATIONS OPTICAL REMOTE BUILDING</v>
      </c>
      <c r="D492" s="1">
        <f>""</f>
      </c>
      <c r="E492" s="1" t="str">
        <f t="shared" si="18"/>
        <v>College Station</v>
      </c>
      <c r="F492" s="1" t="str">
        <f t="shared" si="17"/>
        <v>77843</v>
      </c>
      <c r="G492" t="s">
        <v>8</v>
      </c>
    </row>
    <row r="493" spans="1:7" ht="15" customHeight="1">
      <c r="A493" s="1" t="str">
        <f>"1259"</f>
        <v>1259</v>
      </c>
      <c r="B493" s="1">
        <f>""</f>
      </c>
      <c r="C493" s="1" t="str">
        <f>"Airport-Aircraft Hanger J"</f>
        <v>Airport-Aircraft Hanger J</v>
      </c>
      <c r="D493" s="1">
        <f>""</f>
      </c>
      <c r="E493" s="1" t="str">
        <f t="shared" si="18"/>
        <v>College Station</v>
      </c>
      <c r="F493" s="1" t="str">
        <f t="shared" si="17"/>
        <v>77843</v>
      </c>
      <c r="G493" t="s">
        <v>8</v>
      </c>
    </row>
    <row r="494" spans="1:7" ht="15" customHeight="1">
      <c r="A494" s="1" t="str">
        <f>"1262"</f>
        <v>1262</v>
      </c>
      <c r="B494" s="1">
        <f>""</f>
      </c>
      <c r="C494" s="1" t="str">
        <f>"MCKENZIE TERMINAL BUILDING"</f>
        <v>MCKENZIE TERMINAL BUILDING</v>
      </c>
      <c r="D494" s="1" t="str">
        <f>"1 McKenzie Terminal Bl."</f>
        <v>1 McKenzie Terminal Bl.</v>
      </c>
      <c r="E494" s="1" t="str">
        <f t="shared" si="18"/>
        <v>College Station</v>
      </c>
      <c r="F494" s="1" t="str">
        <f t="shared" si="17"/>
        <v>77843</v>
      </c>
      <c r="G494" t="s">
        <v>9</v>
      </c>
    </row>
    <row r="495" spans="1:7" ht="15" customHeight="1">
      <c r="A495" s="1" t="str">
        <f>"1264"</f>
        <v>1264</v>
      </c>
      <c r="B495" s="1">
        <f>""</f>
      </c>
      <c r="C495" s="1" t="str">
        <f>"TAC REALTY HANGER"</f>
        <v>TAC REALTY HANGER</v>
      </c>
      <c r="D495" s="1" t="str">
        <f>"2600 Nuclear Science Rd."</f>
        <v>2600 Nuclear Science Rd.</v>
      </c>
      <c r="E495" s="1" t="str">
        <f t="shared" si="18"/>
        <v>College Station</v>
      </c>
      <c r="F495" s="1" t="str">
        <f t="shared" si="17"/>
        <v>77843</v>
      </c>
      <c r="G495" t="s">
        <v>9</v>
      </c>
    </row>
    <row r="496" spans="1:7" ht="15" customHeight="1">
      <c r="A496" s="1" t="str">
        <f>"1265"</f>
        <v>1265</v>
      </c>
      <c r="B496" s="1">
        <f>""</f>
      </c>
      <c r="C496" s="1" t="str">
        <f>"PARKING TOLL BOOTH-EASTERWOOD"</f>
        <v>PARKING TOLL BOOTH-EASTERWOOD</v>
      </c>
      <c r="D496" s="1">
        <f>""</f>
      </c>
      <c r="E496" s="1" t="str">
        <f t="shared" si="18"/>
        <v>College Station</v>
      </c>
      <c r="F496" s="1" t="str">
        <f t="shared" si="17"/>
        <v>77843</v>
      </c>
      <c r="G496" t="s">
        <v>8</v>
      </c>
    </row>
    <row r="497" spans="1:7" ht="15" customHeight="1">
      <c r="A497" s="1" t="str">
        <f>"1268"</f>
        <v>1268</v>
      </c>
      <c r="B497" s="1">
        <f>""</f>
      </c>
      <c r="C497" s="1" t="str">
        <f>"WIND TUNNEL STORAGE BUILDING"</f>
        <v>WIND TUNNEL STORAGE BUILDING</v>
      </c>
      <c r="D497" s="1">
        <f>""</f>
      </c>
      <c r="E497" s="1" t="str">
        <f t="shared" si="18"/>
        <v>College Station</v>
      </c>
      <c r="F497" s="1" t="str">
        <f t="shared" si="17"/>
        <v>77843</v>
      </c>
      <c r="G497" t="s">
        <v>8</v>
      </c>
    </row>
    <row r="498" spans="1:7" ht="15" customHeight="1">
      <c r="A498" s="1" t="str">
        <f>"1271"</f>
        <v>1271</v>
      </c>
      <c r="B498" s="1">
        <f>""</f>
      </c>
      <c r="C498" s="1" t="str">
        <f>"STORAGE/WIND TUNNEL SUPPORT BUILDING"</f>
        <v>STORAGE/WIND TUNNEL SUPPORT BUILDING</v>
      </c>
      <c r="D498" s="1">
        <f>""</f>
      </c>
      <c r="E498" s="1" t="str">
        <f t="shared" si="18"/>
        <v>College Station</v>
      </c>
      <c r="F498" s="1" t="str">
        <f t="shared" si="17"/>
        <v>77843</v>
      </c>
      <c r="G498" t="s">
        <v>8</v>
      </c>
    </row>
    <row r="499" spans="1:7" ht="15" customHeight="1">
      <c r="A499" s="1" t="str">
        <f>"1274"</f>
        <v>1274</v>
      </c>
      <c r="B499" s="1">
        <f>""</f>
      </c>
      <c r="C499" s="1" t="str">
        <f>"AEROSPACE ENG WIND TUNNEL (UNSTEADY WIND TUNNEL)"</f>
        <v>AEROSPACE ENG WIND TUNNEL (UNSTEADY WIND TUNNEL)</v>
      </c>
      <c r="D499" s="1" t="str">
        <f>"1820 George Bush Drive West, Hangar 1091"</f>
        <v>1820 George Bush Drive West, Hangar 1091</v>
      </c>
      <c r="E499" s="1" t="str">
        <f t="shared" si="18"/>
        <v>College Station</v>
      </c>
      <c r="F499" s="1" t="str">
        <f t="shared" si="17"/>
        <v>77843</v>
      </c>
      <c r="G499" t="s">
        <v>9</v>
      </c>
    </row>
    <row r="500" spans="1:7" ht="15" customHeight="1">
      <c r="A500" s="1" t="str">
        <f>"1277"</f>
        <v>1277</v>
      </c>
      <c r="B500" s="1">
        <f>""</f>
      </c>
      <c r="C500" s="1" t="str">
        <f>"EASTERWOOD RESCUE AND FIRE FACILITY"</f>
        <v>EASTERWOOD RESCUE AND FIRE FACILITY</v>
      </c>
      <c r="D500" s="1" t="str">
        <f>"1550 George Bush Dr. W."</f>
        <v>1550 George Bush Dr. W.</v>
      </c>
      <c r="E500" s="1" t="str">
        <f t="shared" si="18"/>
        <v>College Station</v>
      </c>
      <c r="F500" s="1" t="str">
        <f t="shared" si="17"/>
        <v>77843</v>
      </c>
      <c r="G500" t="s">
        <v>9</v>
      </c>
    </row>
    <row r="501" spans="1:7" ht="15" customHeight="1">
      <c r="A501" s="1" t="str">
        <f>"1278"</f>
        <v>1278</v>
      </c>
      <c r="B501" s="1">
        <f>""</f>
      </c>
      <c r="C501" s="1" t="str">
        <f>"GROUND SUPPORT EQUIPMENT SHED (EASTERWOOD AIRPORT)"</f>
        <v>GROUND SUPPORT EQUIPMENT SHED (EASTERWOOD AIRPORT)</v>
      </c>
      <c r="D501" s="1">
        <f>""</f>
      </c>
      <c r="E501" s="1" t="str">
        <f t="shared" si="18"/>
        <v>College Station</v>
      </c>
      <c r="F501" s="1" t="str">
        <f t="shared" si="17"/>
        <v>77843</v>
      </c>
      <c r="G501" t="s">
        <v>8</v>
      </c>
    </row>
    <row r="502" spans="1:7" ht="15" customHeight="1">
      <c r="A502" s="1" t="str">
        <f>"1280"</f>
        <v>1280</v>
      </c>
      <c r="B502" s="1">
        <f>""</f>
      </c>
      <c r="C502" s="1" t="str">
        <f>"ESTI BATHROOM (PARKER'S PRIVY)"</f>
        <v>ESTI BATHROOM (PARKER'S PRIVY)</v>
      </c>
      <c r="D502" s="1">
        <f>""</f>
      </c>
      <c r="E502" s="1" t="str">
        <f t="shared" si="18"/>
        <v>College Station</v>
      </c>
      <c r="F502" s="1" t="str">
        <f t="shared" si="17"/>
        <v>77843</v>
      </c>
      <c r="G502" t="s">
        <v>8</v>
      </c>
    </row>
    <row r="503" spans="1:7" ht="15" customHeight="1">
      <c r="A503" s="1" t="str">
        <f>"1281"</f>
        <v>1281</v>
      </c>
      <c r="B503" s="1">
        <f>""</f>
      </c>
      <c r="C503" s="1" t="str">
        <f>"ESTI BATHROOM (PAT'S POTTY)"</f>
        <v>ESTI BATHROOM (PAT'S POTTY)</v>
      </c>
      <c r="D503" s="1">
        <f>""</f>
      </c>
      <c r="E503" s="1" t="str">
        <f t="shared" si="18"/>
        <v>College Station</v>
      </c>
      <c r="F503" s="1" t="str">
        <f t="shared" si="17"/>
        <v>77843</v>
      </c>
      <c r="G503" t="s">
        <v>8</v>
      </c>
    </row>
    <row r="504" spans="1:7" ht="15" customHeight="1">
      <c r="A504" s="1" t="str">
        <f>"1282"</f>
        <v>1282</v>
      </c>
      <c r="B504" s="1">
        <f>""</f>
      </c>
      <c r="C504" s="1" t="str">
        <f>"ESTI BATHROOM (RYAN'S ROOST)"</f>
        <v>ESTI BATHROOM (RYAN'S ROOST)</v>
      </c>
      <c r="D504" s="1">
        <f>""</f>
      </c>
      <c r="E504" s="1" t="str">
        <f t="shared" si="18"/>
        <v>College Station</v>
      </c>
      <c r="F504" s="1" t="str">
        <f t="shared" si="17"/>
        <v>77843</v>
      </c>
      <c r="G504" t="s">
        <v>8</v>
      </c>
    </row>
    <row r="505" spans="1:7" ht="15" customHeight="1">
      <c r="A505" s="1" t="str">
        <f>"1283"</f>
        <v>1283</v>
      </c>
      <c r="B505" s="1">
        <f>""</f>
      </c>
      <c r="C505" s="1" t="str">
        <f>"ESTI INDUSTRIAL BUNKER GEAR DRYING BUILDING"</f>
        <v>ESTI INDUSTRIAL BUNKER GEAR DRYING BUILDING</v>
      </c>
      <c r="D505" s="1">
        <f>""</f>
      </c>
      <c r="E505" s="1" t="str">
        <f t="shared" si="18"/>
        <v>College Station</v>
      </c>
      <c r="F505" s="1" t="str">
        <f t="shared" si="17"/>
        <v>77843</v>
      </c>
      <c r="G505" t="s">
        <v>8</v>
      </c>
    </row>
    <row r="506" spans="1:7" ht="15" customHeight="1">
      <c r="A506" s="1" t="str">
        <f>"1284"</f>
        <v>1284</v>
      </c>
      <c r="B506" s="1">
        <f>""</f>
      </c>
      <c r="C506" s="1" t="str">
        <f>"ESTI BREATHING APPARATUS REPAIR BUILDING"</f>
        <v>ESTI BREATHING APPARATUS REPAIR BUILDING</v>
      </c>
      <c r="D506" s="1">
        <f>""</f>
      </c>
      <c r="E506" s="1" t="str">
        <f t="shared" si="18"/>
        <v>College Station</v>
      </c>
      <c r="F506" s="1" t="str">
        <f t="shared" si="17"/>
        <v>77843</v>
      </c>
      <c r="G506" t="s">
        <v>8</v>
      </c>
    </row>
    <row r="507" spans="1:7" ht="15" customHeight="1">
      <c r="A507" s="1" t="str">
        <f>"1287"</f>
        <v>1287</v>
      </c>
      <c r="B507" s="1">
        <f>""</f>
      </c>
      <c r="C507" s="1" t="str">
        <f>"ESTI EMS SHOP/STORAGE BUILDING"</f>
        <v>ESTI EMS SHOP/STORAGE BUILDING</v>
      </c>
      <c r="D507" s="1">
        <f>""</f>
      </c>
      <c r="E507" s="1" t="str">
        <f t="shared" si="18"/>
        <v>College Station</v>
      </c>
      <c r="F507" s="1" t="str">
        <f t="shared" si="17"/>
        <v>77843</v>
      </c>
      <c r="G507" t="s">
        <v>8</v>
      </c>
    </row>
    <row r="508" spans="1:7" ht="15" customHeight="1">
      <c r="A508" s="1" t="str">
        <f>"1297"</f>
        <v>1297</v>
      </c>
      <c r="B508" s="1">
        <f>""</f>
      </c>
      <c r="C508" s="1" t="str">
        <f>"LAND, AIR, SPACE ROBOTICS"</f>
        <v>LAND, AIR, SPACE ROBOTICS</v>
      </c>
      <c r="D508" s="1" t="str">
        <f>"1188 Nuclear Science Rd."</f>
        <v>1188 Nuclear Science Rd.</v>
      </c>
      <c r="E508" s="1" t="str">
        <f t="shared" si="18"/>
        <v>College Station</v>
      </c>
      <c r="F508" s="1" t="str">
        <f t="shared" si="17"/>
        <v>77843</v>
      </c>
      <c r="G508" t="s">
        <v>9</v>
      </c>
    </row>
    <row r="509" spans="1:7" ht="15" customHeight="1">
      <c r="A509" s="1" t="str">
        <f>"1299"</f>
        <v>1299</v>
      </c>
      <c r="B509" s="1">
        <f>""</f>
      </c>
      <c r="C509" s="1" t="str">
        <f>"TURBOMACHINERY LABORATORY"</f>
        <v>TURBOMACHINERY LABORATORY</v>
      </c>
      <c r="D509" s="1" t="str">
        <f>"1485 George Bush Dr. W."</f>
        <v>1485 George Bush Dr. W.</v>
      </c>
      <c r="E509" s="1" t="str">
        <f t="shared" si="18"/>
        <v>College Station</v>
      </c>
      <c r="F509" s="1" t="str">
        <f aca="true" t="shared" si="19" ref="F509:F552">"77843"</f>
        <v>77843</v>
      </c>
      <c r="G509" t="s">
        <v>9</v>
      </c>
    </row>
    <row r="510" spans="1:7" ht="15" customHeight="1">
      <c r="A510" s="1" t="str">
        <f>"1300"</f>
        <v>1300</v>
      </c>
      <c r="B510" s="1">
        <f>""</f>
      </c>
      <c r="C510" s="1" t="str">
        <f>"Turbomachinery Office Building"</f>
        <v>Turbomachinery Office Building</v>
      </c>
      <c r="D510" s="1">
        <f>""</f>
      </c>
      <c r="E510" s="1" t="str">
        <f t="shared" si="18"/>
        <v>College Station</v>
      </c>
      <c r="F510" s="1" t="str">
        <f t="shared" si="19"/>
        <v>77843</v>
      </c>
      <c r="G510" t="s">
        <v>8</v>
      </c>
    </row>
    <row r="511" spans="1:7" ht="15" customHeight="1">
      <c r="A511" s="1" t="str">
        <f>"1304"</f>
        <v>1304</v>
      </c>
      <c r="B511" s="1">
        <f>""</f>
      </c>
      <c r="C511" s="1" t="str">
        <f>"CORPS LEADERSHIP DEVELOPMENT COURSE STORAGE BLDG"</f>
        <v>CORPS LEADERSHIP DEVELOPMENT COURSE STORAGE BLDG</v>
      </c>
      <c r="D511" s="1">
        <f>""</f>
      </c>
      <c r="E511" s="1" t="str">
        <f t="shared" si="18"/>
        <v>College Station</v>
      </c>
      <c r="F511" s="1" t="str">
        <f t="shared" si="19"/>
        <v>77843</v>
      </c>
      <c r="G511" t="s">
        <v>8</v>
      </c>
    </row>
    <row r="512" spans="1:7" ht="15" customHeight="1">
      <c r="A512" s="1" t="str">
        <f>"1305"</f>
        <v>1305</v>
      </c>
      <c r="B512" s="1">
        <f>""</f>
      </c>
      <c r="C512" s="1" t="str">
        <f>"TVMC-EQUINE BREEDING LABORATORY"</f>
        <v>TVMC-EQUINE BREEDING LABORATORY</v>
      </c>
      <c r="D512" s="1" t="str">
        <f>"523 Turk Rd."</f>
        <v>523 Turk Rd.</v>
      </c>
      <c r="E512" s="1" t="str">
        <f t="shared" si="18"/>
        <v>College Station</v>
      </c>
      <c r="F512" s="1" t="str">
        <f t="shared" si="19"/>
        <v>77843</v>
      </c>
      <c r="G512" t="s">
        <v>9</v>
      </c>
    </row>
    <row r="513" spans="1:7" ht="15" customHeight="1">
      <c r="A513" s="1" t="str">
        <f>"1307"</f>
        <v>1307</v>
      </c>
      <c r="B513" s="1">
        <f>""</f>
      </c>
      <c r="C513" s="1" t="str">
        <f>"NUCLEAR SCIENCE CENTER LABORATORY"</f>
        <v>NUCLEAR SCIENCE CENTER LABORATORY</v>
      </c>
      <c r="D513" s="1" t="str">
        <f>"2524 Nuclear Science Rd."</f>
        <v>2524 Nuclear Science Rd.</v>
      </c>
      <c r="E513" s="1" t="str">
        <f t="shared" si="18"/>
        <v>College Station</v>
      </c>
      <c r="F513" s="1" t="str">
        <f t="shared" si="19"/>
        <v>77843</v>
      </c>
      <c r="G513" t="s">
        <v>9</v>
      </c>
    </row>
    <row r="514" spans="1:7" ht="15" customHeight="1">
      <c r="A514" s="1" t="str">
        <f>"1345"</f>
        <v>1345</v>
      </c>
      <c r="B514" s="1">
        <f>""</f>
      </c>
      <c r="C514" s="1" t="str">
        <f>"ESTI H. D. Smith Operations Complex"</f>
        <v>ESTI H. D. Smith Operations Complex</v>
      </c>
      <c r="D514" s="1">
        <f>""</f>
      </c>
      <c r="E514" s="1" t="str">
        <f aca="true" t="shared" si="20" ref="E514:E552">"College Station"</f>
        <v>College Station</v>
      </c>
      <c r="F514" s="1" t="str">
        <f t="shared" si="19"/>
        <v>77843</v>
      </c>
      <c r="G514" t="s">
        <v>8</v>
      </c>
    </row>
    <row r="515" spans="1:7" ht="15" customHeight="1">
      <c r="A515" s="1" t="str">
        <f>"1346"</f>
        <v>1346</v>
      </c>
      <c r="B515" s="1">
        <f>""</f>
      </c>
      <c r="C515" s="1" t="str">
        <f>"ESTI STRUCTURAL BURN TRNG COMPLEX"</f>
        <v>ESTI STRUCTURAL BURN TRNG COMPLEX</v>
      </c>
      <c r="D515" s="1">
        <f>""</f>
      </c>
      <c r="E515" s="1" t="str">
        <f t="shared" si="20"/>
        <v>College Station</v>
      </c>
      <c r="F515" s="1" t="str">
        <f t="shared" si="19"/>
        <v>77843</v>
      </c>
      <c r="G515" t="s">
        <v>8</v>
      </c>
    </row>
    <row r="516" spans="1:7" ht="15" customHeight="1">
      <c r="A516" s="1" t="str">
        <f>"1347"</f>
        <v>1347</v>
      </c>
      <c r="B516" s="1">
        <f>""</f>
      </c>
      <c r="C516" s="1" t="str">
        <f>"USAR DISASTER CITY RESTROOM"</f>
        <v>USAR DISASTER CITY RESTROOM</v>
      </c>
      <c r="D516" s="1">
        <f>""</f>
      </c>
      <c r="E516" s="1" t="str">
        <f t="shared" si="20"/>
        <v>College Station</v>
      </c>
      <c r="F516" s="1" t="str">
        <f t="shared" si="19"/>
        <v>77843</v>
      </c>
      <c r="G516" t="s">
        <v>8</v>
      </c>
    </row>
    <row r="517" spans="1:7" ht="15" customHeight="1">
      <c r="A517" s="1" t="str">
        <f>"1348"</f>
        <v>1348</v>
      </c>
      <c r="B517" s="1">
        <f>""</f>
      </c>
      <c r="C517" s="1" t="str">
        <f>"USAR DISASTER CITY CLASSROOM"</f>
        <v>USAR DISASTER CITY CLASSROOM</v>
      </c>
      <c r="D517" s="1">
        <f>""</f>
      </c>
      <c r="E517" s="1" t="str">
        <f t="shared" si="20"/>
        <v>College Station</v>
      </c>
      <c r="F517" s="1" t="str">
        <f t="shared" si="19"/>
        <v>77843</v>
      </c>
      <c r="G517" t="s">
        <v>8</v>
      </c>
    </row>
    <row r="518" spans="1:7" ht="15" customHeight="1">
      <c r="A518" s="1" t="str">
        <f>"1349"</f>
        <v>1349</v>
      </c>
      <c r="B518" s="1">
        <f>""</f>
      </c>
      <c r="C518" s="1" t="str">
        <f>"USAR DISASTER CITY OFFICE"</f>
        <v>USAR DISASTER CITY OFFICE</v>
      </c>
      <c r="D518" s="1">
        <f>""</f>
      </c>
      <c r="E518" s="1" t="str">
        <f t="shared" si="20"/>
        <v>College Station</v>
      </c>
      <c r="F518" s="1" t="str">
        <f t="shared" si="19"/>
        <v>77843</v>
      </c>
      <c r="G518" t="s">
        <v>8</v>
      </c>
    </row>
    <row r="519" spans="1:7" ht="15" customHeight="1">
      <c r="A519" s="1" t="str">
        <f>"1350"</f>
        <v>1350</v>
      </c>
      <c r="B519" s="1">
        <f>""</f>
      </c>
      <c r="C519" s="1" t="str">
        <f>"ESTI BATHROOM (HAZARDOUS MATERIALS AREA)"</f>
        <v>ESTI BATHROOM (HAZARDOUS MATERIALS AREA)</v>
      </c>
      <c r="D519" s="1">
        <f>""</f>
      </c>
      <c r="E519" s="1" t="str">
        <f t="shared" si="20"/>
        <v>College Station</v>
      </c>
      <c r="F519" s="1" t="str">
        <f t="shared" si="19"/>
        <v>77843</v>
      </c>
      <c r="G519" t="s">
        <v>8</v>
      </c>
    </row>
    <row r="520" spans="1:7" ht="15" customHeight="1">
      <c r="A520" s="1" t="str">
        <f>"1351"</f>
        <v>1351</v>
      </c>
      <c r="B520" s="1">
        <f>""</f>
      </c>
      <c r="C520" s="1" t="str">
        <f>"ESTI BATHROOM (MARINE AREA)"</f>
        <v>ESTI BATHROOM (MARINE AREA)</v>
      </c>
      <c r="D520" s="1">
        <f>""</f>
      </c>
      <c r="E520" s="1" t="str">
        <f t="shared" si="20"/>
        <v>College Station</v>
      </c>
      <c r="F520" s="1" t="str">
        <f t="shared" si="19"/>
        <v>77843</v>
      </c>
      <c r="G520" t="s">
        <v>8</v>
      </c>
    </row>
    <row r="521" spans="1:7" ht="15" customHeight="1">
      <c r="A521" s="1" t="str">
        <f>"1352"</f>
        <v>1352</v>
      </c>
      <c r="B521" s="1">
        <f>""</f>
      </c>
      <c r="C521" s="1" t="str">
        <f>"ESTI BATHROOM (INDUSTRIAL AREA)"</f>
        <v>ESTI BATHROOM (INDUSTRIAL AREA)</v>
      </c>
      <c r="D521" s="1">
        <f>""</f>
      </c>
      <c r="E521" s="1" t="str">
        <f t="shared" si="20"/>
        <v>College Station</v>
      </c>
      <c r="F521" s="1" t="str">
        <f t="shared" si="19"/>
        <v>77843</v>
      </c>
      <c r="G521" t="s">
        <v>8</v>
      </c>
    </row>
    <row r="522" spans="1:7" ht="15" customHeight="1">
      <c r="A522" s="1" t="str">
        <f>"1353"</f>
        <v>1353</v>
      </c>
      <c r="B522" s="1">
        <f>""</f>
      </c>
      <c r="C522" s="1" t="str">
        <f>"ESTI INDUSTRIAL CLASSROOMS A&amp;B"</f>
        <v>ESTI INDUSTRIAL CLASSROOMS A&amp;B</v>
      </c>
      <c r="D522" s="1">
        <f>""</f>
      </c>
      <c r="E522" s="1" t="str">
        <f t="shared" si="20"/>
        <v>College Station</v>
      </c>
      <c r="F522" s="1" t="str">
        <f t="shared" si="19"/>
        <v>77843</v>
      </c>
      <c r="G522" t="s">
        <v>8</v>
      </c>
    </row>
    <row r="523" spans="1:7" ht="15" customHeight="1">
      <c r="A523" s="1" t="str">
        <f>"1354"</f>
        <v>1354</v>
      </c>
      <c r="B523" s="1">
        <f>""</f>
      </c>
      <c r="C523" s="1" t="str">
        <f>"ESTI INDUSTRIAL OFFICE"</f>
        <v>ESTI INDUSTRIAL OFFICE</v>
      </c>
      <c r="D523" s="1">
        <f>""</f>
      </c>
      <c r="E523" s="1" t="str">
        <f t="shared" si="20"/>
        <v>College Station</v>
      </c>
      <c r="F523" s="1" t="str">
        <f t="shared" si="19"/>
        <v>77843</v>
      </c>
      <c r="G523" t="s">
        <v>8</v>
      </c>
    </row>
    <row r="524" spans="1:7" ht="15" customHeight="1">
      <c r="A524" s="1" t="str">
        <f>"1355"</f>
        <v>1355</v>
      </c>
      <c r="B524" s="1">
        <f>""</f>
      </c>
      <c r="C524" s="1" t="str">
        <f>"ESTI INDUSTRIAL CLASSROOMS A&amp;B"</f>
        <v>ESTI INDUSTRIAL CLASSROOMS A&amp;B</v>
      </c>
      <c r="D524" s="1">
        <f>""</f>
      </c>
      <c r="E524" s="1" t="str">
        <f t="shared" si="20"/>
        <v>College Station</v>
      </c>
      <c r="F524" s="1" t="str">
        <f t="shared" si="19"/>
        <v>77843</v>
      </c>
      <c r="G524" t="s">
        <v>8</v>
      </c>
    </row>
    <row r="525" spans="1:7" ht="15" customHeight="1">
      <c r="A525" s="1" t="str">
        <f>"1356"</f>
        <v>1356</v>
      </c>
      <c r="B525" s="1">
        <f>""</f>
      </c>
      <c r="C525" s="1" t="str">
        <f>"ESTI INDUSTRIAL OFFICE"</f>
        <v>ESTI INDUSTRIAL OFFICE</v>
      </c>
      <c r="D525" s="1">
        <f>""</f>
      </c>
      <c r="E525" s="1" t="str">
        <f t="shared" si="20"/>
        <v>College Station</v>
      </c>
      <c r="F525" s="1" t="str">
        <f t="shared" si="19"/>
        <v>77843</v>
      </c>
      <c r="G525" t="s">
        <v>8</v>
      </c>
    </row>
    <row r="526" spans="1:7" ht="15" customHeight="1">
      <c r="A526" s="1" t="str">
        <f>"1357"</f>
        <v>1357</v>
      </c>
      <c r="B526" s="1">
        <f>""</f>
      </c>
      <c r="C526" s="1" t="str">
        <f>"ESTI INDUSTRIAL CLASSROOMS A&amp;B"</f>
        <v>ESTI INDUSTRIAL CLASSROOMS A&amp;B</v>
      </c>
      <c r="D526" s="1">
        <f>""</f>
      </c>
      <c r="E526" s="1" t="str">
        <f t="shared" si="20"/>
        <v>College Station</v>
      </c>
      <c r="F526" s="1" t="str">
        <f t="shared" si="19"/>
        <v>77843</v>
      </c>
      <c r="G526" t="s">
        <v>8</v>
      </c>
    </row>
    <row r="527" spans="1:7" ht="15" customHeight="1">
      <c r="A527" s="1" t="str">
        <f>"1358"</f>
        <v>1358</v>
      </c>
      <c r="B527" s="1">
        <f>""</f>
      </c>
      <c r="C527" s="1" t="str">
        <f>"ESTI BUSINESS OFFICE"</f>
        <v>ESTI BUSINESS OFFICE</v>
      </c>
      <c r="D527" s="1">
        <f>""</f>
      </c>
      <c r="E527" s="1" t="str">
        <f t="shared" si="20"/>
        <v>College Station</v>
      </c>
      <c r="F527" s="1" t="str">
        <f t="shared" si="19"/>
        <v>77843</v>
      </c>
      <c r="G527" t="s">
        <v>8</v>
      </c>
    </row>
    <row r="528" spans="1:7" ht="15" customHeight="1">
      <c r="A528" s="1" t="str">
        <f>"1359"</f>
        <v>1359</v>
      </c>
      <c r="B528" s="1">
        <f>""</f>
      </c>
      <c r="C528" s="1" t="str">
        <f>"ESTI HAZARDOUS MATERIALS CLASSROOM A&amp;B"</f>
        <v>ESTI HAZARDOUS MATERIALS CLASSROOM A&amp;B</v>
      </c>
      <c r="D528" s="1">
        <f>""</f>
      </c>
      <c r="E528" s="1" t="str">
        <f t="shared" si="20"/>
        <v>College Station</v>
      </c>
      <c r="F528" s="1" t="str">
        <f t="shared" si="19"/>
        <v>77843</v>
      </c>
      <c r="G528" t="s">
        <v>8</v>
      </c>
    </row>
    <row r="529" spans="1:7" ht="15" customHeight="1">
      <c r="A529" s="1" t="str">
        <f>"1360"</f>
        <v>1360</v>
      </c>
      <c r="B529" s="1">
        <f>""</f>
      </c>
      <c r="C529" s="1" t="str">
        <f>"ESTI MARINE/MARKETING/F2HS OFFICE"</f>
        <v>ESTI MARINE/MARKETING/F2HS OFFICE</v>
      </c>
      <c r="D529" s="1">
        <f>""</f>
      </c>
      <c r="E529" s="1" t="str">
        <f t="shared" si="20"/>
        <v>College Station</v>
      </c>
      <c r="F529" s="1" t="str">
        <f t="shared" si="19"/>
        <v>77843</v>
      </c>
      <c r="G529" t="s">
        <v>8</v>
      </c>
    </row>
    <row r="530" spans="1:7" ht="15" customHeight="1">
      <c r="A530" s="1" t="str">
        <f>"1361"</f>
        <v>1361</v>
      </c>
      <c r="B530" s="1">
        <f>""</f>
      </c>
      <c r="C530" s="1" t="str">
        <f>"ESTI RESCUE OFFICE/CLASSROOM"</f>
        <v>ESTI RESCUE OFFICE/CLASSROOM</v>
      </c>
      <c r="D530" s="1">
        <f>""</f>
      </c>
      <c r="E530" s="1" t="str">
        <f t="shared" si="20"/>
        <v>College Station</v>
      </c>
      <c r="F530" s="1" t="str">
        <f t="shared" si="19"/>
        <v>77843</v>
      </c>
      <c r="G530" t="s">
        <v>8</v>
      </c>
    </row>
    <row r="531" spans="1:7" ht="15" customHeight="1">
      <c r="A531" s="1" t="str">
        <f>"1363"</f>
        <v>1363</v>
      </c>
      <c r="B531" s="1">
        <f>""</f>
      </c>
      <c r="C531" s="1" t="str">
        <f>"ESTI FIELD MAINTENANCE SHOP"</f>
        <v>ESTI FIELD MAINTENANCE SHOP</v>
      </c>
      <c r="D531" s="1">
        <f>""</f>
      </c>
      <c r="E531" s="1" t="str">
        <f t="shared" si="20"/>
        <v>College Station</v>
      </c>
      <c r="F531" s="1" t="str">
        <f t="shared" si="19"/>
        <v>77843</v>
      </c>
      <c r="G531" t="s">
        <v>8</v>
      </c>
    </row>
    <row r="532" spans="1:7" ht="15" customHeight="1">
      <c r="A532" s="1" t="str">
        <f>"1364"</f>
        <v>1364</v>
      </c>
      <c r="B532" s="1">
        <f>""</f>
      </c>
      <c r="C532" s="1" t="str">
        <f>"ESTI DOD OFFICE/EMS CLASSROOM"</f>
        <v>ESTI DOD OFFICE/EMS CLASSROOM</v>
      </c>
      <c r="D532" s="1">
        <f>""</f>
      </c>
      <c r="E532" s="1" t="str">
        <f t="shared" si="20"/>
        <v>College Station</v>
      </c>
      <c r="F532" s="1" t="str">
        <f t="shared" si="19"/>
        <v>77843</v>
      </c>
      <c r="G532" t="s">
        <v>8</v>
      </c>
    </row>
    <row r="533" spans="1:7" ht="15" customHeight="1">
      <c r="A533" s="1" t="str">
        <f>"1365"</f>
        <v>1365</v>
      </c>
      <c r="B533" s="1">
        <f>""</f>
      </c>
      <c r="C533" s="1" t="str">
        <f>"ESTI EMS CLASSROOM"</f>
        <v>ESTI EMS CLASSROOM</v>
      </c>
      <c r="D533" s="1">
        <f>""</f>
      </c>
      <c r="E533" s="1" t="str">
        <f t="shared" si="20"/>
        <v>College Station</v>
      </c>
      <c r="F533" s="1" t="str">
        <f t="shared" si="19"/>
        <v>77843</v>
      </c>
      <c r="G533" t="s">
        <v>8</v>
      </c>
    </row>
    <row r="534" spans="1:7" ht="15" customHeight="1">
      <c r="A534" s="1" t="str">
        <f>"1366"</f>
        <v>1366</v>
      </c>
      <c r="B534" s="1">
        <f>""</f>
      </c>
      <c r="C534" s="1" t="str">
        <f>"ESTI INDUSTRIAL CLASSROOM A&amp;B"</f>
        <v>ESTI INDUSTRIAL CLASSROOM A&amp;B</v>
      </c>
      <c r="D534" s="1">
        <f>""</f>
      </c>
      <c r="E534" s="1" t="str">
        <f t="shared" si="20"/>
        <v>College Station</v>
      </c>
      <c r="F534" s="1" t="str">
        <f t="shared" si="19"/>
        <v>77843</v>
      </c>
      <c r="G534" t="s">
        <v>8</v>
      </c>
    </row>
    <row r="535" spans="1:7" ht="15" customHeight="1">
      <c r="A535" s="1" t="str">
        <f>"1367"</f>
        <v>1367</v>
      </c>
      <c r="B535" s="1">
        <f>""</f>
      </c>
      <c r="C535" s="1" t="str">
        <f>"ESTI EMS OFFICE"</f>
        <v>ESTI EMS OFFICE</v>
      </c>
      <c r="D535" s="1">
        <f>""</f>
      </c>
      <c r="E535" s="1" t="str">
        <f t="shared" si="20"/>
        <v>College Station</v>
      </c>
      <c r="F535" s="1" t="str">
        <f t="shared" si="19"/>
        <v>77843</v>
      </c>
      <c r="G535" t="s">
        <v>8</v>
      </c>
    </row>
    <row r="536" spans="1:7" ht="15" customHeight="1">
      <c r="A536" s="1" t="str">
        <f>"1368"</f>
        <v>1368</v>
      </c>
      <c r="B536" s="1">
        <f>""</f>
      </c>
      <c r="C536" s="1" t="str">
        <f>"ESTI ANNUAL SCHOOL/VENDOR STORE"</f>
        <v>ESTI ANNUAL SCHOOL/VENDOR STORE</v>
      </c>
      <c r="D536" s="1">
        <f>""</f>
      </c>
      <c r="E536" s="1" t="str">
        <f t="shared" si="20"/>
        <v>College Station</v>
      </c>
      <c r="F536" s="1" t="str">
        <f t="shared" si="19"/>
        <v>77843</v>
      </c>
      <c r="G536" t="s">
        <v>8</v>
      </c>
    </row>
    <row r="537" spans="1:7" ht="15" customHeight="1">
      <c r="A537" s="1" t="str">
        <f>"1370"</f>
        <v>1370</v>
      </c>
      <c r="B537" s="1">
        <f>""</f>
      </c>
      <c r="C537" s="1" t="str">
        <f>"NERRTC EMERGENCY OPERATIONS TRNG CENTER"</f>
        <v>NERRTC EMERGENCY OPERATIONS TRNG CENTER</v>
      </c>
      <c r="D537" s="1">
        <f>""</f>
      </c>
      <c r="E537" s="1" t="str">
        <f t="shared" si="20"/>
        <v>College Station</v>
      </c>
      <c r="F537" s="1" t="str">
        <f t="shared" si="19"/>
        <v>77843</v>
      </c>
      <c r="G537" t="s">
        <v>8</v>
      </c>
    </row>
    <row r="538" spans="1:7" ht="15" customHeight="1">
      <c r="A538" s="1" t="str">
        <f>"1378"</f>
        <v>1378</v>
      </c>
      <c r="B538" s="1">
        <f>""</f>
      </c>
      <c r="C538" s="1" t="str">
        <f>"USAR WAREHOUSE"</f>
        <v>USAR WAREHOUSE</v>
      </c>
      <c r="D538" s="1">
        <f>""</f>
      </c>
      <c r="E538" s="1" t="str">
        <f t="shared" si="20"/>
        <v>College Station</v>
      </c>
      <c r="F538" s="1" t="str">
        <f t="shared" si="19"/>
        <v>77843</v>
      </c>
      <c r="G538" t="s">
        <v>8</v>
      </c>
    </row>
    <row r="539" spans="1:7" ht="15" customHeight="1">
      <c r="A539" s="1" t="str">
        <f>"1385"</f>
        <v>1385</v>
      </c>
      <c r="B539" s="1">
        <f>""</f>
      </c>
      <c r="C539" s="1" t="str">
        <f>"ESTI WMD RESTROOM"</f>
        <v>ESTI WMD RESTROOM</v>
      </c>
      <c r="D539" s="1">
        <f>""</f>
      </c>
      <c r="E539" s="1" t="str">
        <f t="shared" si="20"/>
        <v>College Station</v>
      </c>
      <c r="F539" s="1" t="str">
        <f t="shared" si="19"/>
        <v>77843</v>
      </c>
      <c r="G539" t="s">
        <v>8</v>
      </c>
    </row>
    <row r="540" spans="1:7" ht="15" customHeight="1">
      <c r="A540" s="1" t="str">
        <f>"1386"</f>
        <v>1386</v>
      </c>
      <c r="B540" s="1">
        <f>""</f>
      </c>
      <c r="C540" s="1" t="str">
        <f>"ESTI CURRICULUM OFFICE"</f>
        <v>ESTI CURRICULUM OFFICE</v>
      </c>
      <c r="D540" s="1">
        <f>""</f>
      </c>
      <c r="E540" s="1" t="str">
        <f t="shared" si="20"/>
        <v>College Station</v>
      </c>
      <c r="F540" s="1" t="str">
        <f t="shared" si="19"/>
        <v>77843</v>
      </c>
      <c r="G540" t="s">
        <v>8</v>
      </c>
    </row>
    <row r="541" spans="1:7" ht="15" customHeight="1">
      <c r="A541" s="1" t="str">
        <f>"1387"</f>
        <v>1387</v>
      </c>
      <c r="B541" s="1">
        <f>""</f>
      </c>
      <c r="C541" s="1" t="str">
        <f>"ESTI LEADERSHIP/CERTIFICATION/EVALUATION OFFICE"</f>
        <v>ESTI LEADERSHIP/CERTIFICATION/EVALUATION OFFICE</v>
      </c>
      <c r="D541" s="1">
        <f>""</f>
      </c>
      <c r="E541" s="1" t="str">
        <f t="shared" si="20"/>
        <v>College Station</v>
      </c>
      <c r="F541" s="1" t="str">
        <f t="shared" si="19"/>
        <v>77843</v>
      </c>
      <c r="G541" t="s">
        <v>8</v>
      </c>
    </row>
    <row r="542" spans="1:7" ht="15" customHeight="1">
      <c r="A542" s="1" t="str">
        <f>"1400"</f>
        <v>1400</v>
      </c>
      <c r="B542" s="1">
        <f>""</f>
      </c>
      <c r="C542" s="1" t="str">
        <f>"CORPS LOUNGE - A"</f>
        <v>CORPS LOUNGE - A</v>
      </c>
      <c r="D542" s="1" t="str">
        <f>"605 Military Mall"</f>
        <v>605 Military Mall</v>
      </c>
      <c r="E542" s="1" t="str">
        <f t="shared" si="20"/>
        <v>College Station</v>
      </c>
      <c r="F542" s="1" t="str">
        <f t="shared" si="19"/>
        <v>77843</v>
      </c>
      <c r="G542" t="s">
        <v>9</v>
      </c>
    </row>
    <row r="543" spans="1:7" ht="15" customHeight="1">
      <c r="A543" s="1" t="str">
        <f>"1401"</f>
        <v>1401</v>
      </c>
      <c r="B543" s="1">
        <f>""</f>
      </c>
      <c r="C543" s="1" t="str">
        <f>"CORPS LOUNGE - B"</f>
        <v>CORPS LOUNGE - B</v>
      </c>
      <c r="D543" s="1" t="str">
        <f>"606 Military Mall"</f>
        <v>606 Military Mall</v>
      </c>
      <c r="E543" s="1" t="str">
        <f t="shared" si="20"/>
        <v>College Station</v>
      </c>
      <c r="F543" s="1" t="str">
        <f t="shared" si="19"/>
        <v>77843</v>
      </c>
      <c r="G543" t="s">
        <v>9</v>
      </c>
    </row>
    <row r="544" spans="1:7" ht="15" customHeight="1">
      <c r="A544" s="1" t="str">
        <f>"1406"</f>
        <v>1406</v>
      </c>
      <c r="B544" s="1">
        <f>""</f>
      </c>
      <c r="C544" s="1" t="str">
        <f>"CORPS LOUNGE - C"</f>
        <v>CORPS LOUNGE - C</v>
      </c>
      <c r="D544" s="1">
        <f>""</f>
      </c>
      <c r="E544" s="1" t="str">
        <f t="shared" si="20"/>
        <v>College Station</v>
      </c>
      <c r="F544" s="1" t="str">
        <f t="shared" si="19"/>
        <v>77843</v>
      </c>
      <c r="G544" t="s">
        <v>8</v>
      </c>
    </row>
    <row r="545" spans="1:7" ht="15" customHeight="1">
      <c r="A545" s="1" t="str">
        <f>"1407"</f>
        <v>1407</v>
      </c>
      <c r="B545" s="1">
        <f>""</f>
      </c>
      <c r="C545" s="1" t="str">
        <f>"CORPS LOUNGE - D"</f>
        <v>CORPS LOUNGE - D</v>
      </c>
      <c r="D545" s="1" t="str">
        <f>"696 Military Mall"</f>
        <v>696 Military Mall</v>
      </c>
      <c r="E545" s="1" t="str">
        <f t="shared" si="20"/>
        <v>College Station</v>
      </c>
      <c r="F545" s="1" t="str">
        <f t="shared" si="19"/>
        <v>77843</v>
      </c>
      <c r="G545" t="s">
        <v>9</v>
      </c>
    </row>
    <row r="546" spans="1:7" ht="15" customHeight="1">
      <c r="A546" s="1" t="str">
        <f>"1410"</f>
        <v>1410</v>
      </c>
      <c r="B546" s="1">
        <f>""</f>
      </c>
      <c r="C546" s="1" t="str">
        <f>"CORPS LOUNGE - E"</f>
        <v>CORPS LOUNGE - E</v>
      </c>
      <c r="D546" s="1" t="str">
        <f>"745 Military Mall"</f>
        <v>745 Military Mall</v>
      </c>
      <c r="E546" s="1" t="str">
        <f t="shared" si="20"/>
        <v>College Station</v>
      </c>
      <c r="F546" s="1" t="str">
        <f t="shared" si="19"/>
        <v>77843</v>
      </c>
      <c r="G546" t="s">
        <v>9</v>
      </c>
    </row>
    <row r="547" spans="1:7" ht="15" customHeight="1">
      <c r="A547" s="1" t="str">
        <f>"1411"</f>
        <v>1411</v>
      </c>
      <c r="B547" s="1">
        <f>""</f>
      </c>
      <c r="C547" s="1" t="str">
        <f>"CORPS LOUNGE - F"</f>
        <v>CORPS LOUNGE - F</v>
      </c>
      <c r="D547" s="1" t="str">
        <f>"766 Military Mall"</f>
        <v>766 Military Mall</v>
      </c>
      <c r="E547" s="1" t="str">
        <f t="shared" si="20"/>
        <v>College Station</v>
      </c>
      <c r="F547" s="1" t="str">
        <f t="shared" si="19"/>
        <v>77843</v>
      </c>
      <c r="G547" t="s">
        <v>9</v>
      </c>
    </row>
    <row r="548" spans="1:7" ht="15" customHeight="1">
      <c r="A548" s="1" t="str">
        <f>"1412"</f>
        <v>1412</v>
      </c>
      <c r="B548" s="1">
        <f>""</f>
      </c>
      <c r="C548" s="1" t="str">
        <f>"CIVILIAN LOUNGE - A2"</f>
        <v>CIVILIAN LOUNGE - A2</v>
      </c>
      <c r="D548" s="1" t="str">
        <f>"212 University Dr."</f>
        <v>212 University Dr.</v>
      </c>
      <c r="E548" s="1" t="str">
        <f t="shared" si="20"/>
        <v>College Station</v>
      </c>
      <c r="F548" s="1" t="str">
        <f t="shared" si="19"/>
        <v>77843</v>
      </c>
      <c r="G548" t="s">
        <v>9</v>
      </c>
    </row>
    <row r="549" spans="1:7" ht="15" customHeight="1">
      <c r="A549" s="1" t="str">
        <f>"1413"</f>
        <v>1413</v>
      </c>
      <c r="B549" s="1">
        <f>""</f>
      </c>
      <c r="C549" s="1" t="str">
        <f>"CIVILIAN LOUNGE - B1"</f>
        <v>CIVILIAN LOUNGE - B1</v>
      </c>
      <c r="D549" s="1" t="str">
        <f>"304 University Dr."</f>
        <v>304 University Dr.</v>
      </c>
      <c r="E549" s="1" t="str">
        <f t="shared" si="20"/>
        <v>College Station</v>
      </c>
      <c r="F549" s="1" t="str">
        <f t="shared" si="19"/>
        <v>77843</v>
      </c>
      <c r="G549" t="s">
        <v>9</v>
      </c>
    </row>
    <row r="550" spans="1:7" ht="15" customHeight="1">
      <c r="A550" s="1" t="str">
        <f>"1415"</f>
        <v>1415</v>
      </c>
      <c r="B550" s="1">
        <f>""</f>
      </c>
      <c r="C550" s="1" t="str">
        <f>"CIVILIAN LOUNGE - A3"</f>
        <v>CIVILIAN LOUNGE - A3</v>
      </c>
      <c r="D550" s="1" t="str">
        <f>"210 University Dr."</f>
        <v>210 University Dr.</v>
      </c>
      <c r="E550" s="1" t="str">
        <f t="shared" si="20"/>
        <v>College Station</v>
      </c>
      <c r="F550" s="1" t="str">
        <f t="shared" si="19"/>
        <v>77843</v>
      </c>
      <c r="G550" t="s">
        <v>9</v>
      </c>
    </row>
    <row r="551" spans="1:7" ht="15" customHeight="1">
      <c r="A551" s="1" t="str">
        <f>"1427"</f>
        <v>1427</v>
      </c>
      <c r="B551" s="1">
        <f>""</f>
      </c>
      <c r="C551" s="1" t="str">
        <f>"CIVILIAN LOUNGE - A1"</f>
        <v>CIVILIAN LOUNGE - A1</v>
      </c>
      <c r="D551" s="1" t="str">
        <f>"225 Jones St."</f>
        <v>225 Jones St.</v>
      </c>
      <c r="E551" s="1" t="str">
        <f t="shared" si="20"/>
        <v>College Station</v>
      </c>
      <c r="F551" s="1" t="str">
        <f t="shared" si="19"/>
        <v>77843</v>
      </c>
      <c r="G551" t="s">
        <v>9</v>
      </c>
    </row>
    <row r="552" spans="1:7" ht="15" customHeight="1">
      <c r="A552" s="1" t="str">
        <f>"1430"</f>
        <v>1430</v>
      </c>
      <c r="B552" s="1">
        <f>""</f>
      </c>
      <c r="C552" s="1" t="str">
        <f>"CIVILIAN LOUNGE - C1"</f>
        <v>CIVILIAN LOUNGE - C1</v>
      </c>
      <c r="D552" s="1" t="str">
        <f>"308 University Dr."</f>
        <v>308 University Dr.</v>
      </c>
      <c r="E552" s="1" t="str">
        <f t="shared" si="20"/>
        <v>College Station</v>
      </c>
      <c r="F552" s="1" t="str">
        <f t="shared" si="19"/>
        <v>77843</v>
      </c>
      <c r="G552" t="s">
        <v>9</v>
      </c>
    </row>
    <row r="553" spans="1:7" ht="15" customHeight="1">
      <c r="A553" s="1" t="str">
        <f>"1490"</f>
        <v>1490</v>
      </c>
      <c r="B553" s="1">
        <f>""</f>
      </c>
      <c r="C553" s="1" t="str">
        <f>"CABIN AT CHALLENGE COURSE"</f>
        <v>CABIN AT CHALLENGE COURSE</v>
      </c>
      <c r="D553" s="1" t="str">
        <f>"2485 Gabbard Rd."</f>
        <v>2485 Gabbard Rd.</v>
      </c>
      <c r="E553" s="1" t="str">
        <f>"Bryan"</f>
        <v>Bryan</v>
      </c>
      <c r="F553" s="1" t="str">
        <f>"77807"</f>
        <v>77807</v>
      </c>
      <c r="G553" t="s">
        <v>9</v>
      </c>
    </row>
    <row r="554" spans="1:7" ht="15" customHeight="1">
      <c r="A554" s="1" t="str">
        <f>"1491"</f>
        <v>1491</v>
      </c>
      <c r="B554" s="1">
        <f>""</f>
      </c>
      <c r="C554" s="1" t="str">
        <f>"SHED AT CHALLENGE COURSE"</f>
        <v>SHED AT CHALLENGE COURSE</v>
      </c>
      <c r="D554" s="1" t="str">
        <f>"2489 Gabbard Rd."</f>
        <v>2489 Gabbard Rd.</v>
      </c>
      <c r="E554" s="1" t="str">
        <f>"Bryan"</f>
        <v>Bryan</v>
      </c>
      <c r="F554" s="1" t="str">
        <f>"77807"</f>
        <v>77807</v>
      </c>
      <c r="G554" t="s">
        <v>9</v>
      </c>
    </row>
    <row r="555" spans="1:7" ht="15" customHeight="1">
      <c r="A555" s="1" t="str">
        <f>"1492"</f>
        <v>1492</v>
      </c>
      <c r="B555" s="1">
        <f>""</f>
      </c>
      <c r="C555" s="1" t="str">
        <f>"CLASSROOM AT CHALLENGE COURSE"</f>
        <v>CLASSROOM AT CHALLENGE COURSE</v>
      </c>
      <c r="D555" s="1" t="str">
        <f>"2481 Gabbard Rd."</f>
        <v>2481 Gabbard Rd.</v>
      </c>
      <c r="E555" s="1" t="str">
        <f>"Bryan"</f>
        <v>Bryan</v>
      </c>
      <c r="F555" s="1" t="str">
        <f>"77807"</f>
        <v>77807</v>
      </c>
      <c r="G555" t="s">
        <v>9</v>
      </c>
    </row>
    <row r="556" spans="1:7" ht="15" customHeight="1">
      <c r="A556" s="1" t="str">
        <f>"1496"</f>
        <v>1496</v>
      </c>
      <c r="B556" s="1">
        <f>""</f>
      </c>
      <c r="C556" s="1" t="str">
        <f>"12.47 KV SWITCHING STATION"</f>
        <v>12.47 KV SWITCHING STATION</v>
      </c>
      <c r="D556" s="1" t="str">
        <f>"178 Agronomy Rd."</f>
        <v>178 Agronomy Rd.</v>
      </c>
      <c r="E556" s="1" t="str">
        <f aca="true" t="shared" si="21" ref="E556:E587">"College Station"</f>
        <v>College Station</v>
      </c>
      <c r="F556" s="1" t="str">
        <f aca="true" t="shared" si="22" ref="F556:F587">"77843"</f>
        <v>77843</v>
      </c>
      <c r="G556" t="s">
        <v>9</v>
      </c>
    </row>
    <row r="557" spans="1:7" ht="15" customHeight="1">
      <c r="A557" s="1" t="str">
        <f>"1497"</f>
        <v>1497</v>
      </c>
      <c r="B557" s="1" t="str">
        <f>"UBO"</f>
        <v>UBO</v>
      </c>
      <c r="C557" s="1" t="str">
        <f>"UTILITIES BUSINESS OFFICE"</f>
        <v>UTILITIES BUSINESS OFFICE</v>
      </c>
      <c r="D557" s="1" t="str">
        <f>"176 Agronomy Rd."</f>
        <v>176 Agronomy Rd.</v>
      </c>
      <c r="E557" s="1" t="str">
        <f t="shared" si="21"/>
        <v>College Station</v>
      </c>
      <c r="F557" s="1" t="str">
        <f t="shared" si="22"/>
        <v>77843</v>
      </c>
      <c r="G557" t="s">
        <v>9</v>
      </c>
    </row>
    <row r="558" spans="1:7" ht="15" customHeight="1">
      <c r="A558" s="1" t="str">
        <f>"1498"</f>
        <v>1498</v>
      </c>
      <c r="B558" s="1" t="str">
        <f>"SUP1"</f>
        <v>SUP1</v>
      </c>
      <c r="C558" s="1" t="str">
        <f>"SATELLITE UTILITY PLANT NO. 1"</f>
        <v>SATELLITE UTILITY PLANT NO. 1</v>
      </c>
      <c r="D558" s="1" t="str">
        <f>"350 John Kimbrough Bl."</f>
        <v>350 John Kimbrough Bl.</v>
      </c>
      <c r="E558" s="1" t="str">
        <f t="shared" si="21"/>
        <v>College Station</v>
      </c>
      <c r="F558" s="1" t="str">
        <f t="shared" si="22"/>
        <v>77843</v>
      </c>
      <c r="G558" t="s">
        <v>9</v>
      </c>
    </row>
    <row r="559" spans="1:7" ht="15" customHeight="1">
      <c r="A559" s="1" t="str">
        <f>"1499"</f>
        <v>1499</v>
      </c>
      <c r="B559" s="1" t="str">
        <f>"SUP2"</f>
        <v>SUP2</v>
      </c>
      <c r="C559" s="1" t="str">
        <f>"SATELLITE UTILITY PLANT NO. 2"</f>
        <v>SATELLITE UTILITY PLANT NO. 2</v>
      </c>
      <c r="D559" s="1" t="str">
        <f>"401 Turk Rd."</f>
        <v>401 Turk Rd.</v>
      </c>
      <c r="E559" s="1" t="str">
        <f t="shared" si="21"/>
        <v>College Station</v>
      </c>
      <c r="F559" s="1" t="str">
        <f t="shared" si="22"/>
        <v>77843</v>
      </c>
      <c r="G559" t="s">
        <v>9</v>
      </c>
    </row>
    <row r="560" spans="1:7" ht="15" customHeight="1">
      <c r="A560" s="1" t="str">
        <f>"1501"</f>
        <v>1501</v>
      </c>
      <c r="B560" s="1" t="str">
        <f>"KLCT"</f>
        <v>KLCT</v>
      </c>
      <c r="C560" s="1" t="str">
        <f>"KLEBERG CENTER"</f>
        <v>KLEBERG CENTER</v>
      </c>
      <c r="D560" s="1" t="str">
        <f>"474 Olsen Bl."</f>
        <v>474 Olsen Bl.</v>
      </c>
      <c r="E560" s="1" t="str">
        <f t="shared" si="21"/>
        <v>College Station</v>
      </c>
      <c r="F560" s="1" t="str">
        <f t="shared" si="22"/>
        <v>77843</v>
      </c>
      <c r="G560" t="s">
        <v>9</v>
      </c>
    </row>
    <row r="561" spans="1:7" ht="15" customHeight="1">
      <c r="A561" s="1" t="str">
        <f>"1502"</f>
        <v>1502</v>
      </c>
      <c r="B561" s="1" t="str">
        <f>"HPCT"</f>
        <v>HPCT</v>
      </c>
      <c r="C561" s="1" t="str">
        <f>"HEEP CENTER"</f>
        <v>HEEP CENTER</v>
      </c>
      <c r="D561" s="1" t="str">
        <f>"370 Olsen Bl."</f>
        <v>370 Olsen Bl.</v>
      </c>
      <c r="E561" s="1" t="str">
        <f t="shared" si="21"/>
        <v>College Station</v>
      </c>
      <c r="F561" s="1" t="str">
        <f t="shared" si="22"/>
        <v>77843</v>
      </c>
      <c r="G561" t="s">
        <v>9</v>
      </c>
    </row>
    <row r="562" spans="1:7" ht="15" customHeight="1">
      <c r="A562" s="1" t="str">
        <f>"1503"</f>
        <v>1503</v>
      </c>
      <c r="B562" s="1" t="str">
        <f>"CMAT"</f>
        <v>CMAT</v>
      </c>
      <c r="C562" s="1" t="str">
        <f>"CATER-MATTIL HALL"</f>
        <v>CATER-MATTIL HALL</v>
      </c>
      <c r="D562" s="1" t="str">
        <f>"373 Olsen Bl."</f>
        <v>373 Olsen Bl.</v>
      </c>
      <c r="E562" s="1" t="str">
        <f t="shared" si="21"/>
        <v>College Station</v>
      </c>
      <c r="F562" s="1" t="str">
        <f t="shared" si="22"/>
        <v>77843</v>
      </c>
      <c r="G562" t="s">
        <v>9</v>
      </c>
    </row>
    <row r="563" spans="1:7" ht="15" customHeight="1">
      <c r="A563" s="1" t="str">
        <f>"1504"</f>
        <v>1504</v>
      </c>
      <c r="B563" s="1" t="str">
        <f>"REYN"</f>
        <v>REYN</v>
      </c>
      <c r="C563" s="1" t="str">
        <f>"REYNOLDS MEDICAL SCIENCES BUILDING"</f>
        <v>REYNOLDS MEDICAL SCIENCES BUILDING</v>
      </c>
      <c r="D563" s="1" t="str">
        <f>"206 Olsen Bl."</f>
        <v>206 Olsen Bl.</v>
      </c>
      <c r="E563" s="1" t="str">
        <f t="shared" si="21"/>
        <v>College Station</v>
      </c>
      <c r="F563" s="1" t="str">
        <f t="shared" si="22"/>
        <v>77843</v>
      </c>
      <c r="G563" t="s">
        <v>9</v>
      </c>
    </row>
    <row r="564" spans="1:7" ht="15" customHeight="1">
      <c r="A564" s="1" t="str">
        <f>"1505"</f>
        <v>1505</v>
      </c>
      <c r="B564" s="1" t="str">
        <f>"MSTC"</f>
        <v>MSTC</v>
      </c>
      <c r="C564" s="1" t="str">
        <f>"ROSENTHAL MEAT SCIENCE &amp; TECHNOLOGY CENTER"</f>
        <v>ROSENTHAL MEAT SCIENCE &amp; TECHNOLOGY CENTER</v>
      </c>
      <c r="D564" s="1" t="str">
        <f>"488 Olsen Bl."</f>
        <v>488 Olsen Bl.</v>
      </c>
      <c r="E564" s="1" t="str">
        <f t="shared" si="21"/>
        <v>College Station</v>
      </c>
      <c r="F564" s="1" t="str">
        <f t="shared" si="22"/>
        <v>77843</v>
      </c>
      <c r="G564" t="s">
        <v>9</v>
      </c>
    </row>
    <row r="565" spans="1:7" ht="15" customHeight="1">
      <c r="A565" s="1" t="str">
        <f>"1506"</f>
        <v>1506</v>
      </c>
      <c r="B565" s="1" t="str">
        <f>"HFSB"</f>
        <v>HFSB</v>
      </c>
      <c r="C565" s="1" t="str">
        <f>"HORTICULTURE/FOREST SCIENCE BUILDING"</f>
        <v>HORTICULTURE/FOREST SCIENCE BUILDING</v>
      </c>
      <c r="D565" s="1" t="str">
        <f>"495 Horticulture Rd."</f>
        <v>495 Horticulture Rd.</v>
      </c>
      <c r="E565" s="1" t="str">
        <f t="shared" si="21"/>
        <v>College Station</v>
      </c>
      <c r="F565" s="1" t="str">
        <f t="shared" si="22"/>
        <v>77843</v>
      </c>
      <c r="G565" t="s">
        <v>9</v>
      </c>
    </row>
    <row r="566" spans="1:7" ht="15" customHeight="1">
      <c r="A566" s="1" t="str">
        <f>"1507"</f>
        <v>1507</v>
      </c>
      <c r="B566" s="1" t="str">
        <f>"BICH"</f>
        <v>BICH</v>
      </c>
      <c r="C566" s="1" t="str">
        <f>"BIOCHEMISTRY/BIOPHYSICS BUILDNG"</f>
        <v>BIOCHEMISTRY/BIOPHYSICS BUILDNG</v>
      </c>
      <c r="D566" s="1" t="str">
        <f>"300 Olsen Bl."</f>
        <v>300 Olsen Bl.</v>
      </c>
      <c r="E566" s="1" t="str">
        <f t="shared" si="21"/>
        <v>College Station</v>
      </c>
      <c r="F566" s="1" t="str">
        <f t="shared" si="22"/>
        <v>77843</v>
      </c>
      <c r="G566" t="s">
        <v>9</v>
      </c>
    </row>
    <row r="567" spans="1:7" ht="15" customHeight="1">
      <c r="A567" s="1" t="str">
        <f>"1508"</f>
        <v>1508</v>
      </c>
      <c r="B567" s="1" t="str">
        <f>"AERL"</f>
        <v>AERL</v>
      </c>
      <c r="C567" s="1" t="str">
        <f>"PRICE HOBGOOD AG. ENGINEERING RESEARCH LAB."</f>
        <v>PRICE HOBGOOD AG. ENGINEERING RESEARCH LAB.</v>
      </c>
      <c r="D567" s="1" t="str">
        <f>"375 Olsen Bl."</f>
        <v>375 Olsen Bl.</v>
      </c>
      <c r="E567" s="1" t="str">
        <f t="shared" si="21"/>
        <v>College Station</v>
      </c>
      <c r="F567" s="1" t="str">
        <f t="shared" si="22"/>
        <v>77843</v>
      </c>
      <c r="G567" t="s">
        <v>9</v>
      </c>
    </row>
    <row r="568" spans="1:7" ht="15" customHeight="1">
      <c r="A568" s="1" t="str">
        <f>"1509"</f>
        <v>1509</v>
      </c>
      <c r="B568" s="1" t="str">
        <f>"MEDL"</f>
        <v>MEDL</v>
      </c>
      <c r="C568" s="1" t="str">
        <f>"MEDICAL SCIENCES LIBRARY"</f>
        <v>MEDICAL SCIENCES LIBRARY</v>
      </c>
      <c r="D568" s="1" t="str">
        <f>"202 Olsen Bl."</f>
        <v>202 Olsen Bl.</v>
      </c>
      <c r="E568" s="1" t="str">
        <f t="shared" si="21"/>
        <v>College Station</v>
      </c>
      <c r="F568" s="1" t="str">
        <f t="shared" si="22"/>
        <v>77843</v>
      </c>
      <c r="G568" t="s">
        <v>9</v>
      </c>
    </row>
    <row r="569" spans="1:7" ht="15" customHeight="1">
      <c r="A569" s="1" t="str">
        <f>"1510"</f>
        <v>1510</v>
      </c>
      <c r="B569" s="1" t="str">
        <f>"WCBA"</f>
        <v>WCBA</v>
      </c>
      <c r="C569" s="1" t="str">
        <f>"WEHNER BUILDING"</f>
        <v>WEHNER BUILDING</v>
      </c>
      <c r="D569" s="1" t="str">
        <f>"210 Olsen Bl."</f>
        <v>210 Olsen Bl.</v>
      </c>
      <c r="E569" s="1" t="str">
        <f t="shared" si="21"/>
        <v>College Station</v>
      </c>
      <c r="F569" s="1" t="str">
        <f t="shared" si="22"/>
        <v>77843</v>
      </c>
      <c r="G569" t="s">
        <v>9</v>
      </c>
    </row>
    <row r="570" spans="1:7" ht="15" customHeight="1">
      <c r="A570" s="1" t="str">
        <f>"1511"</f>
        <v>1511</v>
      </c>
      <c r="B570" s="1" t="str">
        <f>"WCLF"</f>
        <v>WCLF</v>
      </c>
      <c r="C570" s="1" t="str">
        <f>"WEST CAMPUS LIBRARY FACILITY"</f>
        <v>WEST CAMPUS LIBRARY FACILITY</v>
      </c>
      <c r="D570" s="1" t="str">
        <f>"214 Olsen Bl."</f>
        <v>214 Olsen Bl.</v>
      </c>
      <c r="E570" s="1" t="str">
        <f t="shared" si="21"/>
        <v>College Station</v>
      </c>
      <c r="F570" s="1" t="str">
        <f t="shared" si="22"/>
        <v>77843</v>
      </c>
      <c r="G570" t="s">
        <v>9</v>
      </c>
    </row>
    <row r="571" spans="1:7" ht="15" customHeight="1">
      <c r="A571" s="1" t="str">
        <f>"1512"</f>
        <v>1512</v>
      </c>
      <c r="B571" s="1">
        <f>""</f>
      </c>
      <c r="C571" s="1" t="str">
        <f>"Southern Crop Improvement Greenhouse"</f>
        <v>Southern Crop Improvement Greenhouse</v>
      </c>
      <c r="D571" s="1" t="str">
        <f>"502 Olsen Bl."</f>
        <v>502 Olsen Bl.</v>
      </c>
      <c r="E571" s="1" t="str">
        <f t="shared" si="21"/>
        <v>College Station</v>
      </c>
      <c r="F571" s="1" t="str">
        <f t="shared" si="22"/>
        <v>77843</v>
      </c>
      <c r="G571" t="s">
        <v>9</v>
      </c>
    </row>
    <row r="572" spans="1:7" ht="15" customHeight="1">
      <c r="A572" s="1" t="str">
        <f>"1513"</f>
        <v>1513</v>
      </c>
      <c r="B572" s="1" t="str">
        <f>"SCIC"</f>
        <v>SCIC</v>
      </c>
      <c r="C572" s="1" t="str">
        <f>"BORLAUG CENTER FOR SOUTHERN CROP IMPROVEMENT"</f>
        <v>BORLAUG CENTER FOR SOUTHERN CROP IMPROVEMENT</v>
      </c>
      <c r="D572" s="1" t="str">
        <f>"498 Olsen Bl."</f>
        <v>498 Olsen Bl.</v>
      </c>
      <c r="E572" s="1" t="str">
        <f t="shared" si="21"/>
        <v>College Station</v>
      </c>
      <c r="F572" s="1" t="str">
        <f t="shared" si="22"/>
        <v>77843</v>
      </c>
      <c r="G572" t="s">
        <v>9</v>
      </c>
    </row>
    <row r="573" spans="1:7" ht="15" customHeight="1">
      <c r="A573" s="1" t="str">
        <f>"1514"</f>
        <v>1514</v>
      </c>
      <c r="B573" s="1">
        <f>""</f>
      </c>
      <c r="C573" s="1" t="str">
        <f>"PARKING TOLL BOOTH AT PA72"</f>
        <v>PARKING TOLL BOOTH AT PA72</v>
      </c>
      <c r="D573" s="1" t="str">
        <f>"200 Olsen Bl."</f>
        <v>200 Olsen Bl.</v>
      </c>
      <c r="E573" s="1" t="str">
        <f t="shared" si="21"/>
        <v>College Station</v>
      </c>
      <c r="F573" s="1" t="str">
        <f t="shared" si="22"/>
        <v>77843</v>
      </c>
      <c r="G573" t="s">
        <v>9</v>
      </c>
    </row>
    <row r="574" spans="1:7" ht="15" customHeight="1">
      <c r="A574" s="1" t="str">
        <f>"1516"</f>
        <v>1516</v>
      </c>
      <c r="B574" s="1">
        <f>""</f>
      </c>
      <c r="C574" s="1" t="str">
        <f>"HORTICULTURE FIELD LABORATORY"</f>
        <v>HORTICULTURE FIELD LABORATORY</v>
      </c>
      <c r="D574" s="1">
        <f>""</f>
      </c>
      <c r="E574" s="1" t="str">
        <f t="shared" si="21"/>
        <v>College Station</v>
      </c>
      <c r="F574" s="1" t="str">
        <f t="shared" si="22"/>
        <v>77843</v>
      </c>
      <c r="G574" t="s">
        <v>8</v>
      </c>
    </row>
    <row r="575" spans="1:7" ht="15" customHeight="1">
      <c r="A575" s="1" t="str">
        <f>"1517"</f>
        <v>1517</v>
      </c>
      <c r="B575" s="1">
        <f>""</f>
      </c>
      <c r="C575" s="1" t="str">
        <f>"HORTICULTURE CABIN"</f>
        <v>HORTICULTURE CABIN</v>
      </c>
      <c r="D575" s="1">
        <f>""</f>
      </c>
      <c r="E575" s="1" t="str">
        <f t="shared" si="21"/>
        <v>College Station</v>
      </c>
      <c r="F575" s="1" t="str">
        <f t="shared" si="22"/>
        <v>77843</v>
      </c>
      <c r="G575" t="s">
        <v>8</v>
      </c>
    </row>
    <row r="576" spans="1:7" ht="15" customHeight="1">
      <c r="A576" s="1" t="str">
        <f>"1518"</f>
        <v>1518</v>
      </c>
      <c r="B576" s="1">
        <f>""</f>
      </c>
      <c r="C576" s="1" t="str">
        <f>"School of Rural Public Health - A"</f>
        <v>School of Rural Public Health - A</v>
      </c>
      <c r="D576" s="1" t="str">
        <f>"212 Adriance Lab Rd."</f>
        <v>212 Adriance Lab Rd.</v>
      </c>
      <c r="E576" s="1" t="str">
        <f t="shared" si="21"/>
        <v>College Station</v>
      </c>
      <c r="F576" s="1" t="str">
        <f t="shared" si="22"/>
        <v>77843</v>
      </c>
      <c r="G576" t="s">
        <v>9</v>
      </c>
    </row>
    <row r="577" spans="1:7" ht="15" customHeight="1">
      <c r="A577" s="1" t="str">
        <f>"1519"</f>
        <v>1519</v>
      </c>
      <c r="B577" s="1">
        <f>""</f>
      </c>
      <c r="C577" s="1" t="str">
        <f>"School of Rural Public Health - B"</f>
        <v>School of Rural Public Health - B</v>
      </c>
      <c r="D577" s="1" t="str">
        <f>"210 Adriance Lab Rd."</f>
        <v>210 Adriance Lab Rd.</v>
      </c>
      <c r="E577" s="1" t="str">
        <f t="shared" si="21"/>
        <v>College Station</v>
      </c>
      <c r="F577" s="1" t="str">
        <f t="shared" si="22"/>
        <v>77843</v>
      </c>
      <c r="G577" t="s">
        <v>9</v>
      </c>
    </row>
    <row r="578" spans="1:7" ht="15" customHeight="1">
      <c r="A578" s="1" t="str">
        <f>"1520"</f>
        <v>1520</v>
      </c>
      <c r="B578" s="1">
        <f>""</f>
      </c>
      <c r="C578" s="1" t="str">
        <f>"School of Rural Public Health - C"</f>
        <v>School of Rural Public Health - C</v>
      </c>
      <c r="D578" s="1" t="str">
        <f>"214 Adriance Lab Rd."</f>
        <v>214 Adriance Lab Rd.</v>
      </c>
      <c r="E578" s="1" t="str">
        <f t="shared" si="21"/>
        <v>College Station</v>
      </c>
      <c r="F578" s="1" t="str">
        <f t="shared" si="22"/>
        <v>77843</v>
      </c>
      <c r="G578" t="s">
        <v>9</v>
      </c>
    </row>
    <row r="579" spans="1:7" ht="15" customHeight="1">
      <c r="A579" s="1" t="str">
        <f>"1530"</f>
        <v>1530</v>
      </c>
      <c r="B579" s="1" t="str">
        <f>"ILSB"</f>
        <v>ILSB</v>
      </c>
      <c r="C579" s="1" t="str">
        <f>"INTERDISCIPLINARY LIFE SCIENCES BUILDING"</f>
        <v>INTERDISCIPLINARY LIFE SCIENCES BUILDING</v>
      </c>
      <c r="D579" s="1" t="str">
        <f>"301 Old Main Dr."</f>
        <v>301 Old Main Dr.</v>
      </c>
      <c r="E579" s="1" t="str">
        <f t="shared" si="21"/>
        <v>College Station</v>
      </c>
      <c r="F579" s="1" t="str">
        <f t="shared" si="22"/>
        <v>77843</v>
      </c>
      <c r="G579" t="s">
        <v>9</v>
      </c>
    </row>
    <row r="580" spans="1:7" ht="15" customHeight="1">
      <c r="A580" s="1" t="str">
        <f>"1547"</f>
        <v>1547</v>
      </c>
      <c r="B580" s="1">
        <f>""</f>
      </c>
      <c r="C580" s="1" t="str">
        <f>"McFERRIN ATHLETIC CENTER-INDOOR FOOTBALL"</f>
        <v>McFERRIN ATHLETIC CENTER-INDOOR FOOTBALL</v>
      </c>
      <c r="D580" s="1" t="str">
        <f>"177 Wellborn"</f>
        <v>177 Wellborn</v>
      </c>
      <c r="E580" s="1" t="str">
        <f t="shared" si="21"/>
        <v>College Station</v>
      </c>
      <c r="F580" s="1" t="str">
        <f t="shared" si="22"/>
        <v>77843</v>
      </c>
      <c r="G580" t="s">
        <v>9</v>
      </c>
    </row>
    <row r="581" spans="1:7" ht="15" customHeight="1">
      <c r="A581" s="1" t="str">
        <f>"1548"</f>
        <v>1548</v>
      </c>
      <c r="B581" s="1">
        <f>""</f>
      </c>
      <c r="C581" s="1" t="str">
        <f>"McFERRIN ATHLETIC CENTER-INDOOR TRACK"</f>
        <v>McFERRIN ATHLETIC CENTER-INDOOR TRACK</v>
      </c>
      <c r="D581" s="1" t="str">
        <f>"171 Wellborn"</f>
        <v>171 Wellborn</v>
      </c>
      <c r="E581" s="1" t="str">
        <f t="shared" si="21"/>
        <v>College Station</v>
      </c>
      <c r="F581" s="1" t="str">
        <f t="shared" si="22"/>
        <v>77843</v>
      </c>
      <c r="G581" t="s">
        <v>9</v>
      </c>
    </row>
    <row r="582" spans="1:7" ht="15" customHeight="1">
      <c r="A582" s="1" t="str">
        <f>"1549"</f>
        <v>1549</v>
      </c>
      <c r="B582" s="1">
        <f>""</f>
      </c>
      <c r="C582" s="1" t="str">
        <f>"OLSEN FIELD BATTING CAGE FACILITY"</f>
        <v>OLSEN FIELD BATTING CAGE FACILITY</v>
      </c>
      <c r="D582" s="1" t="str">
        <f>"949 Olsen Bl."</f>
        <v>949 Olsen Bl.</v>
      </c>
      <c r="E582" s="1" t="str">
        <f t="shared" si="21"/>
        <v>College Station</v>
      </c>
      <c r="F582" s="1" t="str">
        <f t="shared" si="22"/>
        <v>77843</v>
      </c>
      <c r="G582" t="s">
        <v>9</v>
      </c>
    </row>
    <row r="583" spans="1:7" ht="15" customHeight="1">
      <c r="A583" s="1" t="str">
        <f>"1550"</f>
        <v>1550</v>
      </c>
      <c r="B583" s="1" t="str">
        <f>"OLSN"</f>
        <v>OLSN</v>
      </c>
      <c r="C583" s="1" t="str">
        <f>"OLSEN BASEBALL FIELD"</f>
        <v>OLSEN BASEBALL FIELD</v>
      </c>
      <c r="D583" s="1" t="str">
        <f>"955 Olsen Bl."</f>
        <v>955 Olsen Bl.</v>
      </c>
      <c r="E583" s="1" t="str">
        <f t="shared" si="21"/>
        <v>College Station</v>
      </c>
      <c r="F583" s="1" t="str">
        <f t="shared" si="22"/>
        <v>77843</v>
      </c>
      <c r="G583" t="s">
        <v>9</v>
      </c>
    </row>
    <row r="584" spans="1:7" ht="15" customHeight="1">
      <c r="A584" s="1" t="str">
        <f>"1552"</f>
        <v>1552</v>
      </c>
      <c r="B584" s="1">
        <f>""</f>
      </c>
      <c r="C584" s="1" t="str">
        <f>"OLSEN (E.D.) GROVE PICNIC AREA"</f>
        <v>OLSEN (E.D.) GROVE PICNIC AREA</v>
      </c>
      <c r="D584" s="1" t="str">
        <f>"959 Olsen Bl."</f>
        <v>959 Olsen Bl.</v>
      </c>
      <c r="E584" s="1" t="str">
        <f t="shared" si="21"/>
        <v>College Station</v>
      </c>
      <c r="F584" s="1" t="str">
        <f t="shared" si="22"/>
        <v>77843</v>
      </c>
      <c r="G584" t="s">
        <v>9</v>
      </c>
    </row>
    <row r="585" spans="1:7" ht="15" customHeight="1">
      <c r="A585" s="1" t="str">
        <f>"1553"</f>
        <v>1553</v>
      </c>
      <c r="B585" s="1">
        <f>""</f>
      </c>
      <c r="C585" s="1" t="str">
        <f>"OLSEN FIELD TICKET BOOTH"</f>
        <v>OLSEN FIELD TICKET BOOTH</v>
      </c>
      <c r="D585" s="1">
        <f>""</f>
      </c>
      <c r="E585" s="1" t="str">
        <f t="shared" si="21"/>
        <v>College Station</v>
      </c>
      <c r="F585" s="1" t="str">
        <f t="shared" si="22"/>
        <v>77843</v>
      </c>
      <c r="G585" t="s">
        <v>8</v>
      </c>
    </row>
    <row r="586" spans="1:7" ht="15" customHeight="1">
      <c r="A586" s="1" t="str">
        <f>"1554"</f>
        <v>1554</v>
      </c>
      <c r="B586" s="1" t="str">
        <f>"REED"</f>
        <v>REED</v>
      </c>
      <c r="C586" s="1" t="str">
        <f>"REED ARENA"</f>
        <v>REED ARENA</v>
      </c>
      <c r="D586" s="1" t="str">
        <f>"730 Olsen Bl."</f>
        <v>730 Olsen Bl.</v>
      </c>
      <c r="E586" s="1" t="str">
        <f t="shared" si="21"/>
        <v>College Station</v>
      </c>
      <c r="F586" s="1" t="str">
        <f t="shared" si="22"/>
        <v>77843</v>
      </c>
      <c r="G586" t="s">
        <v>9</v>
      </c>
    </row>
    <row r="587" spans="1:7" ht="15" customHeight="1">
      <c r="A587" s="1" t="str">
        <f>"1555"</f>
        <v>1555</v>
      </c>
      <c r="B587" s="1">
        <f>""</f>
      </c>
      <c r="C587" s="1" t="str">
        <f>"TRACK &amp; FIELD SUPPORT CENTER"</f>
        <v>TRACK &amp; FIELD SUPPORT CENTER</v>
      </c>
      <c r="D587" s="1" t="str">
        <f>"922 Olsen Bl."</f>
        <v>922 Olsen Bl.</v>
      </c>
      <c r="E587" s="1" t="str">
        <f t="shared" si="21"/>
        <v>College Station</v>
      </c>
      <c r="F587" s="1" t="str">
        <f t="shared" si="22"/>
        <v>77843</v>
      </c>
      <c r="G587" t="s">
        <v>9</v>
      </c>
    </row>
    <row r="588" spans="1:7" ht="15" customHeight="1">
      <c r="A588" s="1" t="str">
        <f>"1556"</f>
        <v>1556</v>
      </c>
      <c r="B588" s="1" t="str">
        <f>"PISC"</f>
        <v>PISC</v>
      </c>
      <c r="C588" s="1" t="str">
        <f>"PENBERTHY INTRAMURAL SPORTS CENTER"</f>
        <v>PENBERTHY INTRAMURAL SPORTS CENTER</v>
      </c>
      <c r="D588" s="1" t="str">
        <f>"590 Tom Chandler Dr."</f>
        <v>590 Tom Chandler Dr.</v>
      </c>
      <c r="E588" s="1" t="str">
        <f aca="true" t="shared" si="23" ref="E588:E622">"College Station"</f>
        <v>College Station</v>
      </c>
      <c r="F588" s="1" t="str">
        <f aca="true" t="shared" si="24" ref="F588:F622">"77843"</f>
        <v>77843</v>
      </c>
      <c r="G588" t="s">
        <v>9</v>
      </c>
    </row>
    <row r="589" spans="1:7" ht="15" customHeight="1">
      <c r="A589" s="1" t="str">
        <f>"1557"</f>
        <v>1557</v>
      </c>
      <c r="B589" s="1">
        <f>""</f>
      </c>
      <c r="C589" s="1" t="str">
        <f>"TRACK &amp; FIELD CTR TICKET BOOTH"</f>
        <v>TRACK &amp; FIELD CTR TICKET BOOTH</v>
      </c>
      <c r="D589" s="1" t="str">
        <f>"920 Olsen Bl."</f>
        <v>920 Olsen Bl.</v>
      </c>
      <c r="E589" s="1" t="str">
        <f t="shared" si="23"/>
        <v>College Station</v>
      </c>
      <c r="F589" s="1" t="str">
        <f t="shared" si="24"/>
        <v>77843</v>
      </c>
      <c r="G589" t="s">
        <v>9</v>
      </c>
    </row>
    <row r="590" spans="1:7" ht="15" customHeight="1">
      <c r="A590" s="1" t="str">
        <f>"1558"</f>
        <v>1558</v>
      </c>
      <c r="B590" s="1">
        <f>""</f>
      </c>
      <c r="C590" s="1" t="str">
        <f>"COX-McFERRIN CENTER FOR AGGIE BASKETBALL"</f>
        <v>COX-McFERRIN CENTER FOR AGGIE BASKETBALL</v>
      </c>
      <c r="D590" s="1" t="str">
        <f>"736 Olsen Bl."</f>
        <v>736 Olsen Bl.</v>
      </c>
      <c r="E590" s="1" t="str">
        <f t="shared" si="23"/>
        <v>College Station</v>
      </c>
      <c r="F590" s="1" t="str">
        <f t="shared" si="24"/>
        <v>77843</v>
      </c>
      <c r="G590" t="s">
        <v>9</v>
      </c>
    </row>
    <row r="591" spans="1:7" ht="15" customHeight="1">
      <c r="A591" s="1" t="str">
        <f>"1559"</f>
        <v>1559</v>
      </c>
      <c r="B591" s="1" t="str">
        <f>"WCG"</f>
        <v>WCG</v>
      </c>
      <c r="C591" s="1" t="str">
        <f>"WEST CAMPUS PARKING GARAGE"</f>
        <v>WEST CAMPUS PARKING GARAGE</v>
      </c>
      <c r="D591" s="1" t="str">
        <f>"201 John Kimbrough Bl."</f>
        <v>201 John Kimbrough Bl.</v>
      </c>
      <c r="E591" s="1" t="str">
        <f t="shared" si="23"/>
        <v>College Station</v>
      </c>
      <c r="F591" s="1" t="str">
        <f t="shared" si="24"/>
        <v>77843</v>
      </c>
      <c r="G591" t="s">
        <v>9</v>
      </c>
    </row>
    <row r="592" spans="1:7" ht="15" customHeight="1">
      <c r="A592" s="1" t="str">
        <f>"1560"</f>
        <v>1560</v>
      </c>
      <c r="B592" s="1" t="str">
        <f>"SREC"</f>
        <v>SREC</v>
      </c>
      <c r="C592" s="1" t="str">
        <f>"STUDENT RECREATION CENTER"</f>
        <v>STUDENT RECREATION CENTER</v>
      </c>
      <c r="D592" s="1" t="str">
        <f>"797 Olsen Bl."</f>
        <v>797 Olsen Bl.</v>
      </c>
      <c r="E592" s="1" t="str">
        <f t="shared" si="23"/>
        <v>College Station</v>
      </c>
      <c r="F592" s="1" t="str">
        <f t="shared" si="24"/>
        <v>77843</v>
      </c>
      <c r="G592" t="s">
        <v>9</v>
      </c>
    </row>
    <row r="593" spans="1:7" ht="15" customHeight="1">
      <c r="A593" s="1" t="str">
        <f>"1561"</f>
        <v>1561</v>
      </c>
      <c r="B593" s="1">
        <f>""</f>
      </c>
      <c r="C593" s="1" t="str">
        <f>"GEORGE P. MITCHELL '40 OUTDOOR TENNIS CENTER"</f>
        <v>GEORGE P. MITCHELL '40 OUTDOOR TENNIS CENTER</v>
      </c>
      <c r="D593" s="1" t="str">
        <f>"750 Penberthy Bl."</f>
        <v>750 Penberthy Bl.</v>
      </c>
      <c r="E593" s="1" t="str">
        <f t="shared" si="23"/>
        <v>College Station</v>
      </c>
      <c r="F593" s="1" t="str">
        <f t="shared" si="24"/>
        <v>77843</v>
      </c>
      <c r="G593" t="s">
        <v>9</v>
      </c>
    </row>
    <row r="594" spans="1:7" ht="15" customHeight="1">
      <c r="A594" s="1" t="str">
        <f>"1562"</f>
        <v>1562</v>
      </c>
      <c r="B594" s="1">
        <f>""</f>
      </c>
      <c r="C594" s="1" t="str">
        <f>"WIRELESS TELECOMMUNICATIONS FACILITY"</f>
        <v>WIRELESS TELECOMMUNICATIONS FACILITY</v>
      </c>
      <c r="D594" s="1" t="str">
        <f>"934 Olsen Bl."</f>
        <v>934 Olsen Bl.</v>
      </c>
      <c r="E594" s="1" t="str">
        <f t="shared" si="23"/>
        <v>College Station</v>
      </c>
      <c r="F594" s="1" t="str">
        <f t="shared" si="24"/>
        <v>77843</v>
      </c>
      <c r="G594" t="s">
        <v>9</v>
      </c>
    </row>
    <row r="595" spans="1:7" ht="15" customHeight="1">
      <c r="A595" s="1" t="str">
        <f>"1565"</f>
        <v>1565</v>
      </c>
      <c r="B595" s="1">
        <f>""</f>
      </c>
      <c r="C595" s="1" t="str">
        <f>"TRAINING/TRACK BUILDING"</f>
        <v>TRAINING/TRACK BUILDING</v>
      </c>
      <c r="D595" s="1" t="str">
        <f>"950 Olsen Bl."</f>
        <v>950 Olsen Bl.</v>
      </c>
      <c r="E595" s="1" t="str">
        <f t="shared" si="23"/>
        <v>College Station</v>
      </c>
      <c r="F595" s="1" t="str">
        <f t="shared" si="24"/>
        <v>77843</v>
      </c>
      <c r="G595" t="s">
        <v>9</v>
      </c>
    </row>
    <row r="596" spans="1:7" ht="15" customHeight="1">
      <c r="A596" s="1" t="str">
        <f>"1566"</f>
        <v>1566</v>
      </c>
      <c r="B596" s="1">
        <f>""</f>
      </c>
      <c r="C596" s="1" t="str">
        <f>"SOCCER BUILDING"</f>
        <v>SOCCER BUILDING</v>
      </c>
      <c r="D596" s="1" t="str">
        <f>"940 Olsen Bl."</f>
        <v>940 Olsen Bl.</v>
      </c>
      <c r="E596" s="1" t="str">
        <f t="shared" si="23"/>
        <v>College Station</v>
      </c>
      <c r="F596" s="1" t="str">
        <f t="shared" si="24"/>
        <v>77843</v>
      </c>
      <c r="G596" t="s">
        <v>9</v>
      </c>
    </row>
    <row r="597" spans="1:7" ht="15" customHeight="1">
      <c r="A597" s="1" t="str">
        <f>"1567"</f>
        <v>1567</v>
      </c>
      <c r="B597" s="1">
        <f>""</f>
      </c>
      <c r="C597" s="1" t="str">
        <f>"SOFTBALL BUILDING"</f>
        <v>SOFTBALL BUILDING</v>
      </c>
      <c r="D597" s="1" t="str">
        <f>"910 Olsen Bl."</f>
        <v>910 Olsen Bl.</v>
      </c>
      <c r="E597" s="1" t="str">
        <f t="shared" si="23"/>
        <v>College Station</v>
      </c>
      <c r="F597" s="1" t="str">
        <f t="shared" si="24"/>
        <v>77843</v>
      </c>
      <c r="G597" t="s">
        <v>9</v>
      </c>
    </row>
    <row r="598" spans="1:7" ht="15" customHeight="1">
      <c r="A598" s="1" t="str">
        <f>"1568"</f>
        <v>1568</v>
      </c>
      <c r="B598" s="1">
        <f>""</f>
      </c>
      <c r="C598" s="1" t="str">
        <f>"VARSITY SOCCER PRESS BOX"</f>
        <v>VARSITY SOCCER PRESS BOX</v>
      </c>
      <c r="D598" s="1">
        <f>""</f>
      </c>
      <c r="E598" s="1" t="str">
        <f t="shared" si="23"/>
        <v>College Station</v>
      </c>
      <c r="F598" s="1" t="str">
        <f t="shared" si="24"/>
        <v>77843</v>
      </c>
      <c r="G598" t="s">
        <v>8</v>
      </c>
    </row>
    <row r="599" spans="1:7" ht="15" customHeight="1">
      <c r="A599" s="1" t="str">
        <f>"1569"</f>
        <v>1569</v>
      </c>
      <c r="B599" s="1">
        <f>""</f>
      </c>
      <c r="C599" s="1" t="str">
        <f>"MITCHELL TENNIS CENTER TICKET BOOTH"</f>
        <v>MITCHELL TENNIS CENTER TICKET BOOTH</v>
      </c>
      <c r="D599" s="1" t="str">
        <f>"754 Penberthy Bl."</f>
        <v>754 Penberthy Bl.</v>
      </c>
      <c r="E599" s="1" t="str">
        <f t="shared" si="23"/>
        <v>College Station</v>
      </c>
      <c r="F599" s="1" t="str">
        <f t="shared" si="24"/>
        <v>77843</v>
      </c>
      <c r="G599" t="s">
        <v>9</v>
      </c>
    </row>
    <row r="600" spans="1:7" ht="15" customHeight="1">
      <c r="A600" s="1" t="str">
        <f>"1570"</f>
        <v>1570</v>
      </c>
      <c r="B600" s="1" t="str">
        <f>"WCTC"</f>
        <v>WCTC</v>
      </c>
      <c r="C600" s="1" t="str">
        <f>"OMAR SMITH INSTRUCTIONAL TENNIS CENTER"</f>
        <v>OMAR SMITH INSTRUCTIONAL TENNIS CENTER</v>
      </c>
      <c r="D600" s="1" t="str">
        <f>"746 Penberthy Bl."</f>
        <v>746 Penberthy Bl.</v>
      </c>
      <c r="E600" s="1" t="str">
        <f t="shared" si="23"/>
        <v>College Station</v>
      </c>
      <c r="F600" s="1" t="str">
        <f t="shared" si="24"/>
        <v>77843</v>
      </c>
      <c r="G600" t="s">
        <v>9</v>
      </c>
    </row>
    <row r="601" spans="1:7" ht="15" customHeight="1">
      <c r="A601" s="1" t="str">
        <f>"1571"</f>
        <v>1571</v>
      </c>
      <c r="B601" s="1">
        <f>""</f>
      </c>
      <c r="C601" s="1" t="str">
        <f>"WEST CAMPUS OFFICE PAVILION"</f>
        <v>WEST CAMPUS OFFICE PAVILION</v>
      </c>
      <c r="D601" s="1">
        <f>""</f>
      </c>
      <c r="E601" s="1" t="str">
        <f t="shared" si="23"/>
        <v>College Station</v>
      </c>
      <c r="F601" s="1" t="str">
        <f t="shared" si="24"/>
        <v>77843</v>
      </c>
      <c r="G601" t="s">
        <v>8</v>
      </c>
    </row>
    <row r="602" spans="1:7" ht="15" customHeight="1">
      <c r="A602" s="1" t="str">
        <f>"1573"</f>
        <v>1573</v>
      </c>
      <c r="B602" s="1">
        <f>""</f>
      </c>
      <c r="C602" s="1" t="str">
        <f>"EQUESTRIAN TACK ROOM"</f>
        <v>EQUESTRIAN TACK ROOM</v>
      </c>
      <c r="D602" s="1">
        <f>""</f>
      </c>
      <c r="E602" s="1" t="str">
        <f t="shared" si="23"/>
        <v>College Station</v>
      </c>
      <c r="F602" s="1" t="str">
        <f t="shared" si="24"/>
        <v>77843</v>
      </c>
      <c r="G602" t="s">
        <v>8</v>
      </c>
    </row>
    <row r="603" spans="1:7" ht="15" customHeight="1">
      <c r="A603" s="1" t="str">
        <f>"1574"</f>
        <v>1574</v>
      </c>
      <c r="B603" s="1">
        <f>""</f>
      </c>
      <c r="C603" s="1" t="str">
        <f>"EQUINE HAY &amp; GRASS STORAGE"</f>
        <v>EQUINE HAY &amp; GRASS STORAGE</v>
      </c>
      <c r="D603" s="1">
        <f>""</f>
      </c>
      <c r="E603" s="1" t="str">
        <f t="shared" si="23"/>
        <v>College Station</v>
      </c>
      <c r="F603" s="1" t="str">
        <f t="shared" si="24"/>
        <v>77843</v>
      </c>
      <c r="G603" t="s">
        <v>8</v>
      </c>
    </row>
    <row r="604" spans="1:7" ht="15" customHeight="1">
      <c r="A604" s="1" t="str">
        <f>"1575"</f>
        <v>1575</v>
      </c>
      <c r="B604" s="1">
        <f>""</f>
      </c>
      <c r="C604" s="1" t="str">
        <f>"ANIMAL SCIENCE STALLION BARN"</f>
        <v>ANIMAL SCIENCE STALLION BARN</v>
      </c>
      <c r="D604" s="1">
        <f>""</f>
      </c>
      <c r="E604" s="1" t="str">
        <f t="shared" si="23"/>
        <v>College Station</v>
      </c>
      <c r="F604" s="1" t="str">
        <f t="shared" si="24"/>
        <v>77843</v>
      </c>
      <c r="G604" t="s">
        <v>8</v>
      </c>
    </row>
    <row r="605" spans="1:7" ht="15" customHeight="1">
      <c r="A605" s="1" t="str">
        <f>"1576"</f>
        <v>1576</v>
      </c>
      <c r="B605" s="1" t="str">
        <f>"EQNB"</f>
        <v>EQNB</v>
      </c>
      <c r="C605" s="1" t="str">
        <f>"AN SCI EQUINE NUTRITION BARN"</f>
        <v>AN SCI EQUINE NUTRITION BARN</v>
      </c>
      <c r="D605" s="1" t="str">
        <f>"425 George Bush Dr. W."</f>
        <v>425 George Bush Dr. W.</v>
      </c>
      <c r="E605" s="1" t="str">
        <f t="shared" si="23"/>
        <v>College Station</v>
      </c>
      <c r="F605" s="1" t="str">
        <f t="shared" si="24"/>
        <v>77843</v>
      </c>
      <c r="G605" t="s">
        <v>9</v>
      </c>
    </row>
    <row r="606" spans="1:7" ht="15" customHeight="1">
      <c r="A606" s="1" t="str">
        <f>"1579"</f>
        <v>1579</v>
      </c>
      <c r="B606" s="1">
        <f>""</f>
      </c>
      <c r="C606" s="1" t="str">
        <f>"SMALL UPLAND FOWL RES. LAB."</f>
        <v>SMALL UPLAND FOWL RES. LAB.</v>
      </c>
      <c r="D606" s="1">
        <f>""</f>
      </c>
      <c r="E606" s="1" t="str">
        <f t="shared" si="23"/>
        <v>College Station</v>
      </c>
      <c r="F606" s="1" t="str">
        <f t="shared" si="24"/>
        <v>77843</v>
      </c>
      <c r="G606" t="s">
        <v>8</v>
      </c>
    </row>
    <row r="607" spans="1:7" ht="15" customHeight="1">
      <c r="A607" s="1" t="str">
        <f>"1597"</f>
        <v>1597</v>
      </c>
      <c r="B607" s="1">
        <f>""</f>
      </c>
      <c r="C607" s="1" t="str">
        <f>"IODP HAZMAT CONTAINMENT"</f>
        <v>IODP HAZMAT CONTAINMENT</v>
      </c>
      <c r="D607" s="1" t="str">
        <f>"1002 Discovery Dr."</f>
        <v>1002 Discovery Dr.</v>
      </c>
      <c r="E607" s="1" t="str">
        <f t="shared" si="23"/>
        <v>College Station</v>
      </c>
      <c r="F607" s="1" t="str">
        <f t="shared" si="24"/>
        <v>77843</v>
      </c>
      <c r="G607" t="s">
        <v>9</v>
      </c>
    </row>
    <row r="608" spans="1:7" ht="15" customHeight="1">
      <c r="A608" s="1" t="str">
        <f>"1599"</f>
        <v>1599</v>
      </c>
      <c r="B608" s="1">
        <f>""</f>
      </c>
      <c r="C608" s="1" t="str">
        <f>"2 RESEARCH PARK"</f>
        <v>2 RESEARCH PARK</v>
      </c>
      <c r="D608" s="1" t="str">
        <f>"1700 Research Pw."</f>
        <v>1700 Research Pw.</v>
      </c>
      <c r="E608" s="1" t="str">
        <f t="shared" si="23"/>
        <v>College Station</v>
      </c>
      <c r="F608" s="1" t="str">
        <f t="shared" si="24"/>
        <v>77843</v>
      </c>
      <c r="G608" t="s">
        <v>9</v>
      </c>
    </row>
    <row r="609" spans="1:7" ht="15" customHeight="1">
      <c r="A609" s="1" t="str">
        <f>"1600"</f>
        <v>1600</v>
      </c>
      <c r="B609" s="1" t="str">
        <f>"GGB"</f>
        <v>GGB</v>
      </c>
      <c r="C609" s="1" t="str">
        <f>"GILCHRIST BUILDING (T.T.I.)"</f>
        <v>GILCHRIST BUILDING (T.T.I.)</v>
      </c>
      <c r="D609" s="1" t="str">
        <f>"2929 Research Pw."</f>
        <v>2929 Research Pw.</v>
      </c>
      <c r="E609" s="1" t="str">
        <f t="shared" si="23"/>
        <v>College Station</v>
      </c>
      <c r="F609" s="1" t="str">
        <f t="shared" si="24"/>
        <v>77843</v>
      </c>
      <c r="G609" t="s">
        <v>9</v>
      </c>
    </row>
    <row r="610" spans="1:7" ht="15" customHeight="1">
      <c r="A610" s="1" t="str">
        <f>"1601"</f>
        <v>1601</v>
      </c>
      <c r="B610" s="1" t="str">
        <f>"ODP"</f>
        <v>ODP</v>
      </c>
      <c r="C610" s="1" t="str">
        <f>"INTEGRATED OCEAN DRILLING BUILDING"</f>
        <v>INTEGRATED OCEAN DRILLING BUILDING</v>
      </c>
      <c r="D610" s="1" t="str">
        <f>"1000 Discovery Dr."</f>
        <v>1000 Discovery Dr.</v>
      </c>
      <c r="E610" s="1" t="str">
        <f t="shared" si="23"/>
        <v>College Station</v>
      </c>
      <c r="F610" s="1" t="str">
        <f t="shared" si="24"/>
        <v>77843</v>
      </c>
      <c r="G610" t="s">
        <v>9</v>
      </c>
    </row>
    <row r="611" spans="1:7" ht="15" customHeight="1">
      <c r="A611" s="1" t="str">
        <f>"1602"</f>
        <v>1602</v>
      </c>
      <c r="B611" s="1" t="str">
        <f>"ONRP"</f>
        <v>ONRP</v>
      </c>
      <c r="C611" s="1" t="str">
        <f>"1111 RESEARCH PARKWAY BLDG"</f>
        <v>1111 RESEARCH PARKWAY BLDG</v>
      </c>
      <c r="D611" s="1" t="str">
        <f>"1111 Research Pw."</f>
        <v>1111 Research Pw.</v>
      </c>
      <c r="E611" s="1" t="str">
        <f t="shared" si="23"/>
        <v>College Station</v>
      </c>
      <c r="F611" s="1" t="str">
        <f t="shared" si="24"/>
        <v>77843</v>
      </c>
      <c r="G611" t="s">
        <v>9</v>
      </c>
    </row>
    <row r="612" spans="1:7" ht="15" customHeight="1">
      <c r="A612" s="1" t="str">
        <f>"1603"</f>
        <v>1603</v>
      </c>
      <c r="B612" s="1" t="str">
        <f>"DLH"</f>
        <v>DLH</v>
      </c>
      <c r="C612" s="1" t="str">
        <f>"DONALD L. HOUSTON BUILDING"</f>
        <v>DONALD L. HOUSTON BUILDING</v>
      </c>
      <c r="D612" s="1" t="str">
        <f>"200 Discovery Dr."</f>
        <v>200 Discovery Dr.</v>
      </c>
      <c r="E612" s="1" t="str">
        <f t="shared" si="23"/>
        <v>College Station</v>
      </c>
      <c r="F612" s="1" t="str">
        <f t="shared" si="24"/>
        <v>77843</v>
      </c>
      <c r="G612" t="s">
        <v>9</v>
      </c>
    </row>
    <row r="613" spans="1:7" ht="15" customHeight="1">
      <c r="A613" s="1" t="str">
        <f>"1604"</f>
        <v>1604</v>
      </c>
      <c r="B613" s="1" t="str">
        <f>"OTRC"</f>
        <v>OTRC</v>
      </c>
      <c r="C613" s="1" t="str">
        <f>"OFFSHORE TECHNOLOGY RESEARCH CENTER"</f>
        <v>OFFSHORE TECHNOLOGY RESEARCH CENTER</v>
      </c>
      <c r="D613" s="1" t="str">
        <f>"1200 Mariner Dr."</f>
        <v>1200 Mariner Dr.</v>
      </c>
      <c r="E613" s="1" t="str">
        <f t="shared" si="23"/>
        <v>College Station</v>
      </c>
      <c r="F613" s="1" t="str">
        <f t="shared" si="24"/>
        <v>77843</v>
      </c>
      <c r="G613" t="s">
        <v>9</v>
      </c>
    </row>
    <row r="614" spans="1:7" ht="15" customHeight="1">
      <c r="A614" s="1" t="str">
        <f>"1605"</f>
        <v>1605</v>
      </c>
      <c r="B614" s="1" t="str">
        <f>"CEN"</f>
        <v>CEN</v>
      </c>
      <c r="C614" s="1" t="str">
        <f>"CENTEQ BUILDING"</f>
        <v>CENTEQ BUILDING</v>
      </c>
      <c r="D614" s="1" t="str">
        <f>"1500 Research Pw."</f>
        <v>1500 Research Pw.</v>
      </c>
      <c r="E614" s="1" t="str">
        <f t="shared" si="23"/>
        <v>College Station</v>
      </c>
      <c r="F614" s="1" t="str">
        <f t="shared" si="24"/>
        <v>77843</v>
      </c>
      <c r="G614" t="s">
        <v>9</v>
      </c>
    </row>
    <row r="615" spans="1:7" ht="15" customHeight="1">
      <c r="A615" s="1" t="str">
        <f>"1606"</f>
        <v>1606</v>
      </c>
      <c r="B615" s="1" t="str">
        <f>"BPLM"</f>
        <v>BPLM</v>
      </c>
      <c r="C615" s="1" t="str">
        <f>"BUSH LIBRARY: MUSEUM &amp; ARCHIVE"</f>
        <v>BUSH LIBRARY: MUSEUM &amp; ARCHIVE</v>
      </c>
      <c r="D615" s="1" t="str">
        <f>"1000 George Bush Dr. W."</f>
        <v>1000 George Bush Dr. W.</v>
      </c>
      <c r="E615" s="1" t="str">
        <f t="shared" si="23"/>
        <v>College Station</v>
      </c>
      <c r="F615" s="1" t="str">
        <f t="shared" si="24"/>
        <v>77843</v>
      </c>
      <c r="G615" t="s">
        <v>9</v>
      </c>
    </row>
    <row r="616" spans="1:7" ht="15" customHeight="1">
      <c r="A616" s="1" t="str">
        <f>"1607"</f>
        <v>1607</v>
      </c>
      <c r="B616" s="1" t="str">
        <f>"ALLN"</f>
        <v>ALLN</v>
      </c>
      <c r="C616" s="1" t="str">
        <f>"ALLEN BUILDING (ACADEMIC WEST)"</f>
        <v>ALLEN BUILDING (ACADEMIC WEST)</v>
      </c>
      <c r="D616" s="1" t="str">
        <f>"1004 George Bush Dr. W."</f>
        <v>1004 George Bush Dr. W.</v>
      </c>
      <c r="E616" s="1" t="str">
        <f t="shared" si="23"/>
        <v>College Station</v>
      </c>
      <c r="F616" s="1" t="str">
        <f t="shared" si="24"/>
        <v>77843</v>
      </c>
      <c r="G616" t="s">
        <v>9</v>
      </c>
    </row>
    <row r="617" spans="1:7" ht="15" customHeight="1">
      <c r="A617" s="1" t="str">
        <f>"1608"</f>
        <v>1608</v>
      </c>
      <c r="B617" s="1" t="str">
        <f>"BPCC"</f>
        <v>BPCC</v>
      </c>
      <c r="C617" s="1" t="str">
        <f>"ANNENBERG PRESIDENTIAL CONFERENCE CENTER"</f>
        <v>ANNENBERG PRESIDENTIAL CONFERENCE CENTER</v>
      </c>
      <c r="D617" s="1" t="str">
        <f>"1002 George Bush Dr. W."</f>
        <v>1002 George Bush Dr. W.</v>
      </c>
      <c r="E617" s="1" t="str">
        <f t="shared" si="23"/>
        <v>College Station</v>
      </c>
      <c r="F617" s="1" t="str">
        <f t="shared" si="24"/>
        <v>77843</v>
      </c>
      <c r="G617" t="s">
        <v>9</v>
      </c>
    </row>
    <row r="618" spans="1:7" ht="15" customHeight="1">
      <c r="A618" s="1" t="str">
        <f>"1610"</f>
        <v>1610</v>
      </c>
      <c r="B618" s="1" t="str">
        <f>"CEL"</f>
        <v>CEL</v>
      </c>
      <c r="C618" s="1" t="str">
        <f>"Coastal Engineering Lab"</f>
        <v>Coastal Engineering Lab</v>
      </c>
      <c r="D618" s="1" t="str">
        <f>"600 Discovery Dr."</f>
        <v>600 Discovery Dr.</v>
      </c>
      <c r="E618" s="1" t="str">
        <f t="shared" si="23"/>
        <v>College Station</v>
      </c>
      <c r="F618" s="1" t="str">
        <f t="shared" si="24"/>
        <v>77843</v>
      </c>
      <c r="G618" t="s">
        <v>9</v>
      </c>
    </row>
    <row r="619" spans="1:7" ht="15" customHeight="1">
      <c r="A619" s="1" t="str">
        <f>"1620"</f>
        <v>1620</v>
      </c>
      <c r="B619" s="1" t="str">
        <f>"EBRF"</f>
        <v>EBRF</v>
      </c>
      <c r="C619" s="1" t="str">
        <f>"ELECTRON BEAM FOOD RESEARCH FACILITY"</f>
        <v>ELECTRON BEAM FOOD RESEARCH FACILITY</v>
      </c>
      <c r="D619" s="1" t="str">
        <f>"400 Discovery Dr."</f>
        <v>400 Discovery Dr.</v>
      </c>
      <c r="E619" s="1" t="str">
        <f t="shared" si="23"/>
        <v>College Station</v>
      </c>
      <c r="F619" s="1" t="str">
        <f t="shared" si="24"/>
        <v>77843</v>
      </c>
      <c r="G619" t="s">
        <v>9</v>
      </c>
    </row>
    <row r="620" spans="1:7" ht="15" customHeight="1">
      <c r="A620" s="1" t="str">
        <f>"1698"</f>
        <v>1698</v>
      </c>
      <c r="B620" s="1">
        <f>""</f>
      </c>
      <c r="C620" s="1" t="str">
        <f>"RESEARCH PARK SWITCHING STATION"</f>
        <v>RESEARCH PARK SWITCHING STATION</v>
      </c>
      <c r="D620" s="1">
        <f>""</f>
      </c>
      <c r="E620" s="1" t="str">
        <f t="shared" si="23"/>
        <v>College Station</v>
      </c>
      <c r="F620" s="1" t="str">
        <f t="shared" si="24"/>
        <v>77843</v>
      </c>
      <c r="G620" t="s">
        <v>8</v>
      </c>
    </row>
    <row r="621" spans="1:7" ht="15" customHeight="1">
      <c r="A621" s="1" t="str">
        <f>"1700"</f>
        <v>1700</v>
      </c>
      <c r="B621" s="1">
        <f>""</f>
      </c>
      <c r="C621" s="1" t="str">
        <f>"SCHMIDT HOUSE"</f>
        <v>SCHMIDT HOUSE</v>
      </c>
      <c r="D621" s="1" t="str">
        <f>"3869 F&amp;B Rd."</f>
        <v>3869 F&amp;B Rd.</v>
      </c>
      <c r="E621" s="1" t="str">
        <f t="shared" si="23"/>
        <v>College Station</v>
      </c>
      <c r="F621" s="1" t="str">
        <f t="shared" si="24"/>
        <v>77843</v>
      </c>
      <c r="G621" t="s">
        <v>9</v>
      </c>
    </row>
    <row r="622" spans="1:7" ht="15" customHeight="1">
      <c r="A622" s="1" t="str">
        <f>"1701"</f>
        <v>1701</v>
      </c>
      <c r="B622" s="1">
        <f>""</f>
      </c>
      <c r="C622" s="1" t="str">
        <f>"TEXAS A&amp;M POLO CLUB STABLES"</f>
        <v>TEXAS A&amp;M POLO CLUB STABLES</v>
      </c>
      <c r="D622" s="1">
        <f>""</f>
      </c>
      <c r="E622" s="1" t="str">
        <f t="shared" si="23"/>
        <v>College Station</v>
      </c>
      <c r="F622" s="1" t="str">
        <f t="shared" si="24"/>
        <v>77843</v>
      </c>
      <c r="G622" t="s">
        <v>8</v>
      </c>
    </row>
    <row r="623" spans="1:7" ht="15" customHeight="1">
      <c r="A623" s="1" t="str">
        <f>"1702"</f>
        <v>1702</v>
      </c>
      <c r="B623" s="1">
        <f>""</f>
      </c>
      <c r="C623" s="1" t="str">
        <f>"EQUESTRIAN BUILDING @ BRAZOS CO. EXPO CENTER"</f>
        <v>EQUESTRIAN BUILDING @ BRAZOS CO. EXPO CENTER</v>
      </c>
      <c r="D623" s="1">
        <f>""</f>
      </c>
      <c r="E623" s="1">
        <f>""</f>
      </c>
      <c r="F623" s="1" t="str">
        <f>"77807"</f>
        <v>77807</v>
      </c>
      <c r="G623" t="s">
        <v>8</v>
      </c>
    </row>
    <row r="624" spans="1:7" ht="15" customHeight="1">
      <c r="A624" s="1" t="str">
        <f>"1750"</f>
        <v>1750</v>
      </c>
      <c r="B624" s="1">
        <f>""</f>
      </c>
      <c r="C624" s="1" t="str">
        <f>"REPRODUCTIVE SCIENCES BLDG. A"</f>
        <v>REPRODUCTIVE SCIENCES BLDG. A</v>
      </c>
      <c r="D624" s="1">
        <f>""</f>
      </c>
      <c r="E624" s="1">
        <f>""</f>
      </c>
      <c r="F624" s="1">
        <f>""</f>
      </c>
      <c r="G624" t="s">
        <v>8</v>
      </c>
    </row>
    <row r="625" spans="1:7" ht="15" customHeight="1">
      <c r="A625" s="1" t="str">
        <f>"1751"</f>
        <v>1751</v>
      </c>
      <c r="B625" s="1">
        <f>""</f>
      </c>
      <c r="C625" s="1" t="str">
        <f>"REPRODUCTIVE SCIENCES BLDG. B"</f>
        <v>REPRODUCTIVE SCIENCES BLDG. B</v>
      </c>
      <c r="D625" s="1">
        <f>""</f>
      </c>
      <c r="E625" s="1">
        <f>""</f>
      </c>
      <c r="F625" s="1">
        <f>""</f>
      </c>
      <c r="G625" t="s">
        <v>8</v>
      </c>
    </row>
    <row r="626" spans="1:7" ht="15" customHeight="1">
      <c r="A626" s="1" t="str">
        <f>"1752"</f>
        <v>1752</v>
      </c>
      <c r="B626" s="1">
        <f>""</f>
      </c>
      <c r="C626" s="1" t="str">
        <f>"REPRODUCTIVE SCIENCES BLDG. C"</f>
        <v>REPRODUCTIVE SCIENCES BLDG. C</v>
      </c>
      <c r="D626" s="1">
        <f>""</f>
      </c>
      <c r="E626" s="1">
        <f>""</f>
      </c>
      <c r="F626" s="1">
        <f>""</f>
      </c>
      <c r="G626" t="s">
        <v>8</v>
      </c>
    </row>
    <row r="627" spans="1:7" ht="15" customHeight="1">
      <c r="A627" s="1" t="str">
        <f>"1753"</f>
        <v>1753</v>
      </c>
      <c r="B627" s="1">
        <f>""</f>
      </c>
      <c r="C627" s="1" t="str">
        <f>"REPRODUCTIVE SCIENCES BLDG. D"</f>
        <v>REPRODUCTIVE SCIENCES BLDG. D</v>
      </c>
      <c r="D627" s="1">
        <f>""</f>
      </c>
      <c r="E627" s="1">
        <f>""</f>
      </c>
      <c r="F627" s="1">
        <f>""</f>
      </c>
      <c r="G627" t="s">
        <v>8</v>
      </c>
    </row>
    <row r="628" spans="1:7" ht="15" customHeight="1">
      <c r="A628" s="1" t="str">
        <f>"1754"</f>
        <v>1754</v>
      </c>
      <c r="B628" s="1">
        <f>""</f>
      </c>
      <c r="C628" s="1" t="str">
        <f>"REPRODUCTIVE SCIENCES BLDG. E"</f>
        <v>REPRODUCTIVE SCIENCES BLDG. E</v>
      </c>
      <c r="D628" s="1">
        <f>""</f>
      </c>
      <c r="E628" s="1">
        <f>""</f>
      </c>
      <c r="F628" s="1">
        <f>""</f>
      </c>
      <c r="G628" t="s">
        <v>8</v>
      </c>
    </row>
    <row r="629" spans="1:7" ht="15" customHeight="1">
      <c r="A629" s="1" t="str">
        <f>"1755"</f>
        <v>1755</v>
      </c>
      <c r="B629" s="1">
        <f>""</f>
      </c>
      <c r="C629" s="1" t="str">
        <f>"REPRODUCTIVE SCIENCES BLDG. F"</f>
        <v>REPRODUCTIVE SCIENCES BLDG. F</v>
      </c>
      <c r="D629" s="1">
        <f>""</f>
      </c>
      <c r="E629" s="1">
        <f>""</f>
      </c>
      <c r="F629" s="1">
        <f>""</f>
      </c>
      <c r="G629" t="s">
        <v>8</v>
      </c>
    </row>
    <row r="630" spans="1:7" ht="15" customHeight="1">
      <c r="A630" s="1" t="str">
        <f>"1756"</f>
        <v>1756</v>
      </c>
      <c r="B630" s="1">
        <f>""</f>
      </c>
      <c r="C630" s="1" t="str">
        <f>"REPRODUCTIVE SCIENCES BLDG. G"</f>
        <v>REPRODUCTIVE SCIENCES BLDG. G</v>
      </c>
      <c r="D630" s="1">
        <f>""</f>
      </c>
      <c r="E630" s="1">
        <f>""</f>
      </c>
      <c r="F630" s="1">
        <f>""</f>
      </c>
      <c r="G630" t="s">
        <v>8</v>
      </c>
    </row>
    <row r="631" spans="1:7" ht="15" customHeight="1">
      <c r="A631" s="1" t="str">
        <f>"1757"</f>
        <v>1757</v>
      </c>
      <c r="B631" s="1">
        <f>""</f>
      </c>
      <c r="C631" s="1" t="str">
        <f>"REPRODUCTIVE SCIENCES BLDG. H"</f>
        <v>REPRODUCTIVE SCIENCES BLDG. H</v>
      </c>
      <c r="D631" s="1">
        <f>""</f>
      </c>
      <c r="E631" s="1">
        <f>""</f>
      </c>
      <c r="F631" s="1">
        <f>""</f>
      </c>
      <c r="G631" t="s">
        <v>8</v>
      </c>
    </row>
    <row r="632" spans="1:7" ht="15" customHeight="1">
      <c r="A632" s="1" t="str">
        <f>"1758"</f>
        <v>1758</v>
      </c>
      <c r="B632" s="1">
        <f>""</f>
      </c>
      <c r="C632" s="1" t="str">
        <f>"REPRODUCTIVE SCIENCES BLDG. I"</f>
        <v>REPRODUCTIVE SCIENCES BLDG. I</v>
      </c>
      <c r="D632" s="1">
        <f>""</f>
      </c>
      <c r="E632" s="1">
        <f>""</f>
      </c>
      <c r="F632" s="1">
        <f>""</f>
      </c>
      <c r="G632" t="s">
        <v>8</v>
      </c>
    </row>
    <row r="633" spans="1:7" ht="15" customHeight="1">
      <c r="A633" s="1" t="str">
        <f>"1759"</f>
        <v>1759</v>
      </c>
      <c r="B633" s="1">
        <f>""</f>
      </c>
      <c r="C633" s="1" t="str">
        <f>"REPRODUCTIVE SCIENCES BLDG. J"</f>
        <v>REPRODUCTIVE SCIENCES BLDG. J</v>
      </c>
      <c r="D633" s="1">
        <f>""</f>
      </c>
      <c r="E633" s="1">
        <f>""</f>
      </c>
      <c r="F633" s="1">
        <f>""</f>
      </c>
      <c r="G633" t="s">
        <v>8</v>
      </c>
    </row>
    <row r="634" spans="1:7" ht="15" customHeight="1">
      <c r="A634" s="1" t="str">
        <f>"1800"</f>
        <v>1800</v>
      </c>
      <c r="B634" s="1">
        <f>""</f>
      </c>
      <c r="C634" s="1" t="str">
        <f>"GENERAL SERVICES COMPLEX"</f>
        <v>GENERAL SERVICES COMPLEX</v>
      </c>
      <c r="D634" s="1" t="str">
        <f>"750 Agronomy Rd."</f>
        <v>750 Agronomy Rd.</v>
      </c>
      <c r="E634" s="1" t="str">
        <f aca="true" t="shared" si="25" ref="E634:E643">"College Station"</f>
        <v>College Station</v>
      </c>
      <c r="F634" s="1" t="str">
        <f aca="true" t="shared" si="26" ref="F634:F643">"77843"</f>
        <v>77843</v>
      </c>
      <c r="G634" t="s">
        <v>9</v>
      </c>
    </row>
    <row r="635" spans="1:7" ht="15" customHeight="1">
      <c r="A635" s="1" t="str">
        <f>"1810"</f>
        <v>1810</v>
      </c>
      <c r="B635" s="1">
        <f>""</f>
      </c>
      <c r="C635" s="1" t="str">
        <f>"OFFICE OF THE STATE CHEMIST BUILDING"</f>
        <v>OFFICE OF THE STATE CHEMIST BUILDING</v>
      </c>
      <c r="D635" s="1" t="str">
        <f>"445 Aronomy Rd."</f>
        <v>445 Aronomy Rd.</v>
      </c>
      <c r="E635" s="1" t="str">
        <f t="shared" si="25"/>
        <v>College Station</v>
      </c>
      <c r="F635" s="1" t="str">
        <f t="shared" si="26"/>
        <v>77843</v>
      </c>
      <c r="G635" t="s">
        <v>9</v>
      </c>
    </row>
    <row r="636" spans="1:7" ht="15" customHeight="1">
      <c r="A636" s="1" t="str">
        <f>"1900"</f>
        <v>1900</v>
      </c>
      <c r="B636" s="1" t="str">
        <f>"TIGM"</f>
        <v>TIGM</v>
      </c>
      <c r="C636" s="1" t="str">
        <f>"TEXAS INSTITUTE FOR GENOMIC MEDICINE"</f>
        <v>TEXAS INSTITUTE FOR GENOMIC MEDICINE</v>
      </c>
      <c r="D636" s="1" t="str">
        <f>"670 Raymond Stotzer Pw."</f>
        <v>670 Raymond Stotzer Pw.</v>
      </c>
      <c r="E636" s="1" t="str">
        <f t="shared" si="25"/>
        <v>College Station</v>
      </c>
      <c r="F636" s="1" t="str">
        <f t="shared" si="26"/>
        <v>77843</v>
      </c>
      <c r="G636" t="s">
        <v>9</v>
      </c>
    </row>
    <row r="637" spans="1:7" ht="15" customHeight="1">
      <c r="A637" s="1" t="str">
        <f>"1904"</f>
        <v>1904</v>
      </c>
      <c r="B637" s="1" t="str">
        <f>"TIPS A"</f>
        <v>TIPS A</v>
      </c>
      <c r="C637" s="1" t="str">
        <f>"Texas A&amp;M Institute for Preclinical Studies A"</f>
        <v>Texas A&amp;M Institute for Preclinical Studies A</v>
      </c>
      <c r="D637" s="1" t="str">
        <f>"800 Raymond Stotzer Pw."</f>
        <v>800 Raymond Stotzer Pw.</v>
      </c>
      <c r="E637" s="1" t="str">
        <f t="shared" si="25"/>
        <v>College Station</v>
      </c>
      <c r="F637" s="1" t="str">
        <f t="shared" si="26"/>
        <v>77843</v>
      </c>
      <c r="G637" t="s">
        <v>9</v>
      </c>
    </row>
    <row r="638" spans="1:7" ht="15" customHeight="1">
      <c r="A638" s="1" t="str">
        <f>"1905"</f>
        <v>1905</v>
      </c>
      <c r="B638" s="1" t="str">
        <f>"TIPS B"</f>
        <v>TIPS B</v>
      </c>
      <c r="C638" s="1" t="str">
        <f>"Texas A&amp;M Institute for Preclinical Studies B"</f>
        <v>Texas A&amp;M Institute for Preclinical Studies B</v>
      </c>
      <c r="D638" s="1" t="str">
        <f>"806 Raymond Stotzer Pw."</f>
        <v>806 Raymond Stotzer Pw.</v>
      </c>
      <c r="E638" s="1" t="str">
        <f t="shared" si="25"/>
        <v>College Station</v>
      </c>
      <c r="F638" s="1" t="str">
        <f t="shared" si="26"/>
        <v>77843</v>
      </c>
      <c r="G638" t="s">
        <v>9</v>
      </c>
    </row>
    <row r="639" spans="1:7" ht="15" customHeight="1">
      <c r="A639" s="1" t="str">
        <f>"1906"</f>
        <v>1906</v>
      </c>
      <c r="B639" s="1" t="str">
        <f>"TIPS C"</f>
        <v>TIPS C</v>
      </c>
      <c r="C639" s="1" t="str">
        <f>"Texas A&amp;M Institute for Preclinical Studies C"</f>
        <v>Texas A&amp;M Institute for Preclinical Studies C</v>
      </c>
      <c r="D639" s="1" t="str">
        <f>"812 Raymond Stotzer Pw."</f>
        <v>812 Raymond Stotzer Pw.</v>
      </c>
      <c r="E639" s="1" t="str">
        <f t="shared" si="25"/>
        <v>College Station</v>
      </c>
      <c r="F639" s="1" t="str">
        <f t="shared" si="26"/>
        <v>77843</v>
      </c>
      <c r="G639" t="s">
        <v>9</v>
      </c>
    </row>
    <row r="640" spans="1:7" ht="15" customHeight="1">
      <c r="A640" s="1" t="str">
        <f>"2135"</f>
        <v>2135</v>
      </c>
      <c r="B640" s="1">
        <f>""</f>
      </c>
      <c r="C640" s="1" t="str">
        <f>"TVMC-WILDLIFE &amp; EXOTIC ANIMALS"</f>
        <v>TVMC-WILDLIFE &amp; EXOTIC ANIMALS</v>
      </c>
      <c r="D640" s="1" t="str">
        <f>"2699 F &amp; B Rd."</f>
        <v>2699 F &amp; B Rd.</v>
      </c>
      <c r="E640" s="1" t="str">
        <f t="shared" si="25"/>
        <v>College Station</v>
      </c>
      <c r="F640" s="1" t="str">
        <f t="shared" si="26"/>
        <v>77843</v>
      </c>
      <c r="G640" t="s">
        <v>9</v>
      </c>
    </row>
    <row r="641" spans="1:7" ht="15" customHeight="1">
      <c r="A641" s="1" t="str">
        <f>"2901"</f>
        <v>2901</v>
      </c>
      <c r="B641" s="1">
        <f>""</f>
      </c>
      <c r="C641" s="1" t="str">
        <f>"EAST MARK BUILDING"</f>
        <v>EAST MARK BUILDING</v>
      </c>
      <c r="D641" s="1" t="str">
        <f>"7670 Eastmark Dr."</f>
        <v>7670 Eastmark Dr.</v>
      </c>
      <c r="E641" s="1" t="str">
        <f t="shared" si="25"/>
        <v>College Station</v>
      </c>
      <c r="F641" s="1" t="str">
        <f t="shared" si="26"/>
        <v>77843</v>
      </c>
      <c r="G641" t="s">
        <v>9</v>
      </c>
    </row>
    <row r="642" spans="1:7" ht="15" customHeight="1">
      <c r="A642" s="1" t="str">
        <f>"2905"</f>
        <v>2905</v>
      </c>
      <c r="B642" s="1">
        <f>""</f>
      </c>
      <c r="C642" s="1" t="str">
        <f>"707 TEXAS BLDG-E"</f>
        <v>707 TEXAS BLDG-E</v>
      </c>
      <c r="D642" s="1" t="str">
        <f>"707 Texas Bldg-E"</f>
        <v>707 Texas Bldg-E</v>
      </c>
      <c r="E642" s="1" t="str">
        <f t="shared" si="25"/>
        <v>College Station</v>
      </c>
      <c r="F642" s="1" t="str">
        <f t="shared" si="26"/>
        <v>77843</v>
      </c>
      <c r="G642" t="s">
        <v>9</v>
      </c>
    </row>
    <row r="643" spans="1:7" ht="15" customHeight="1">
      <c r="A643" s="1" t="str">
        <f>"2906"</f>
        <v>2906</v>
      </c>
      <c r="B643" s="1">
        <f>""</f>
      </c>
      <c r="C643" s="1" t="str">
        <f>"WELLS FARGO BANK PLAZA"</f>
        <v>WELLS FARGO BANK PLAZA</v>
      </c>
      <c r="D643" s="1">
        <f>""</f>
      </c>
      <c r="E643" s="1" t="str">
        <f t="shared" si="25"/>
        <v>College Station</v>
      </c>
      <c r="F643" s="1" t="str">
        <f t="shared" si="26"/>
        <v>77843</v>
      </c>
      <c r="G643" t="s">
        <v>8</v>
      </c>
    </row>
    <row r="644" spans="1:7" ht="15" customHeight="1">
      <c r="A644" s="1" t="str">
        <f>"2913"</f>
        <v>2913</v>
      </c>
      <c r="B644" s="1">
        <f>""</f>
      </c>
      <c r="C644" s="1" t="str">
        <f>"3400 TEXAS (FAMILY HEALTH CTR)"</f>
        <v>3400 TEXAS (FAMILY HEALTH CTR)</v>
      </c>
      <c r="D644" s="1" t="str">
        <f>"3400 Texas"</f>
        <v>3400 Texas</v>
      </c>
      <c r="E644" s="1" t="str">
        <f>"Bryan"</f>
        <v>Bryan</v>
      </c>
      <c r="F644" s="1" t="str">
        <f>"77802"</f>
        <v>77802</v>
      </c>
      <c r="G644" t="s">
        <v>9</v>
      </c>
    </row>
    <row r="645" spans="1:7" ht="15" customHeight="1">
      <c r="A645" s="1" t="str">
        <f>"2914"</f>
        <v>2914</v>
      </c>
      <c r="B645" s="1">
        <f>""</f>
      </c>
      <c r="C645" s="1" t="str">
        <f>"2700 Earl Rudder Fwy South, Suite 1800"</f>
        <v>2700 Earl Rudder Fwy South, Suite 1800</v>
      </c>
      <c r="D645" s="1" t="str">
        <f>"2700 Earl Rudder Fwy South, Suite 1800"</f>
        <v>2700 Earl Rudder Fwy South, Suite 1800</v>
      </c>
      <c r="E645" s="1" t="str">
        <f>"College Station"</f>
        <v>College Station</v>
      </c>
      <c r="F645" s="1" t="str">
        <f>"77843"</f>
        <v>77843</v>
      </c>
      <c r="G645" t="s">
        <v>9</v>
      </c>
    </row>
    <row r="646" spans="1:7" ht="15" customHeight="1">
      <c r="A646" s="1" t="str">
        <f>"2917"</f>
        <v>2917</v>
      </c>
      <c r="B646" s="1">
        <f>""</f>
      </c>
      <c r="C646" s="1" t="str">
        <f>"702 E. UNIVERSITY, SUITE E"</f>
        <v>702 E. UNIVERSITY, SUITE E</v>
      </c>
      <c r="D646" s="1" t="str">
        <f>"702 E. University, Suite E"</f>
        <v>702 E. University, Suite E</v>
      </c>
      <c r="E646" s="1" t="str">
        <f>"College Station"</f>
        <v>College Station</v>
      </c>
      <c r="F646" s="1" t="str">
        <f>"77843"</f>
        <v>77843</v>
      </c>
      <c r="G646" t="s">
        <v>9</v>
      </c>
    </row>
    <row r="647" spans="1:7" ht="15" customHeight="1">
      <c r="A647" s="1" t="str">
        <f>"2918"</f>
        <v>2918</v>
      </c>
      <c r="B647" s="1">
        <f>""</f>
      </c>
      <c r="C647" s="1" t="str">
        <f>"EXECUTIVE OFFICE PLAZA, BRYAN TX"</f>
        <v>EXECUTIVE OFFICE PLAZA, BRYAN TX</v>
      </c>
      <c r="D647" s="1" t="str">
        <f>"3608 East 29th Street"</f>
        <v>3608 East 29th Street</v>
      </c>
      <c r="E647" s="1" t="str">
        <f>"Bryan"</f>
        <v>Bryan</v>
      </c>
      <c r="F647" s="1" t="str">
        <f>"77802"</f>
        <v>77802</v>
      </c>
      <c r="G647" t="s">
        <v>9</v>
      </c>
    </row>
    <row r="648" spans="1:7" ht="15" customHeight="1">
      <c r="A648" s="1" t="str">
        <f>"2922"</f>
        <v>2922</v>
      </c>
      <c r="B648" s="1">
        <f>""</f>
      </c>
      <c r="C648" s="1" t="str">
        <f>"TEES STATE HEADQUARTERS BLDG."</f>
        <v>TEES STATE HEADQUARTERS BLDG.</v>
      </c>
      <c r="D648" s="1" t="str">
        <f>"200 Greens Prairie Road"</f>
        <v>200 Greens Prairie Road</v>
      </c>
      <c r="E648" s="1" t="str">
        <f>"College Station"</f>
        <v>College Station</v>
      </c>
      <c r="F648" s="1" t="str">
        <f>"77843"</f>
        <v>77843</v>
      </c>
      <c r="G648" t="s">
        <v>9</v>
      </c>
    </row>
    <row r="649" spans="1:7" ht="15" customHeight="1">
      <c r="A649" s="1" t="str">
        <f>"2929"</f>
        <v>2929</v>
      </c>
      <c r="B649" s="1">
        <f>""</f>
      </c>
      <c r="C649" s="1" t="str">
        <f>"USAR GATEWAY FACILITY"</f>
        <v>USAR GATEWAY FACILITY</v>
      </c>
      <c r="D649" s="1">
        <f>""</f>
      </c>
      <c r="E649" s="1" t="str">
        <f>"College Station"</f>
        <v>College Station</v>
      </c>
      <c r="F649" s="1" t="str">
        <f>"77843"</f>
        <v>77843</v>
      </c>
      <c r="G649" t="s">
        <v>8</v>
      </c>
    </row>
    <row r="650" spans="1:7" ht="15" customHeight="1">
      <c r="A650" s="1" t="str">
        <f>"2930"</f>
        <v>2930</v>
      </c>
      <c r="B650" s="1">
        <f>""</f>
      </c>
      <c r="C650" s="1" t="str">
        <f>"4001 E. 29th Street, Suite 118"</f>
        <v>4001 E. 29th Street, Suite 118</v>
      </c>
      <c r="D650" s="1" t="str">
        <f>"4001 E. 29th Street, Suite 118"</f>
        <v>4001 E. 29th Street, Suite 118</v>
      </c>
      <c r="E650" s="1" t="str">
        <f>"Bryan"</f>
        <v>Bryan</v>
      </c>
      <c r="F650" s="1" t="str">
        <f>"77802"</f>
        <v>77802</v>
      </c>
      <c r="G650" t="s">
        <v>9</v>
      </c>
    </row>
    <row r="651" spans="1:7" ht="15" customHeight="1">
      <c r="A651" s="1" t="str">
        <f>"2931"</f>
        <v>2931</v>
      </c>
      <c r="B651" s="1">
        <f>""</f>
      </c>
      <c r="C651" s="1" t="str">
        <f>"903B HARVEY ROAD"</f>
        <v>903B HARVEY ROAD</v>
      </c>
      <c r="D651" s="1" t="str">
        <f>"903B Harvey Road"</f>
        <v>903B Harvey Road</v>
      </c>
      <c r="E651" s="1" t="str">
        <f>"College Station"</f>
        <v>College Station</v>
      </c>
      <c r="F651" s="1" t="str">
        <f>"77843"</f>
        <v>77843</v>
      </c>
      <c r="G651" t="s">
        <v>9</v>
      </c>
    </row>
    <row r="652" spans="1:7" ht="15" customHeight="1">
      <c r="A652" s="1" t="str">
        <f>"2932"</f>
        <v>2932</v>
      </c>
      <c r="B652" s="1">
        <f>""</f>
      </c>
      <c r="C652" s="1" t="str">
        <f>"915B HARVEY ROAD"</f>
        <v>915B HARVEY ROAD</v>
      </c>
      <c r="D652" s="1" t="str">
        <f>"915B Harvey Road"</f>
        <v>915B Harvey Road</v>
      </c>
      <c r="E652" s="1" t="str">
        <f>"College Station"</f>
        <v>College Station</v>
      </c>
      <c r="F652" s="1" t="str">
        <f>"77843"</f>
        <v>77843</v>
      </c>
      <c r="G652" t="s">
        <v>9</v>
      </c>
    </row>
    <row r="653" spans="1:7" ht="15" customHeight="1">
      <c r="A653" s="1" t="str">
        <f>"2933"</f>
        <v>2933</v>
      </c>
      <c r="B653" s="1">
        <f>""</f>
      </c>
      <c r="C653" s="1" t="str">
        <f>"CUBBY HOLE TEXAS SELF-STORAGE"</f>
        <v>CUBBY HOLE TEXAS SELF-STORAGE</v>
      </c>
      <c r="D653" s="1" t="str">
        <f>"1821 E 29th St"</f>
        <v>1821 E 29th St</v>
      </c>
      <c r="E653" s="1" t="str">
        <f>"Bryan"</f>
        <v>Bryan</v>
      </c>
      <c r="F653" s="1" t="str">
        <f>"77802"</f>
        <v>77802</v>
      </c>
      <c r="G653" t="s">
        <v>9</v>
      </c>
    </row>
    <row r="654" spans="1:7" ht="15" customHeight="1">
      <c r="A654" s="1" t="str">
        <f>"2934"</f>
        <v>2934</v>
      </c>
      <c r="B654" s="1">
        <f>""</f>
      </c>
      <c r="C654" s="1" t="str">
        <f>"LONE STAR STORAGE CENTER"</f>
        <v>LONE STAR STORAGE CENTER</v>
      </c>
      <c r="D654" s="1" t="str">
        <f>"1079 N Earl Rudder Fwy"</f>
        <v>1079 N Earl Rudder Fwy</v>
      </c>
      <c r="E654" s="1" t="str">
        <f>"Bryan"</f>
        <v>Bryan</v>
      </c>
      <c r="F654" s="1" t="str">
        <f>"77802"</f>
        <v>77802</v>
      </c>
      <c r="G654" t="s">
        <v>9</v>
      </c>
    </row>
    <row r="655" spans="1:7" ht="15" customHeight="1">
      <c r="A655" s="1" t="str">
        <f>"2935"</f>
        <v>2935</v>
      </c>
      <c r="B655" s="1">
        <f>""</f>
      </c>
      <c r="C655" s="1" t="str">
        <f>"THE STORAGE STATION"</f>
        <v>THE STORAGE STATION</v>
      </c>
      <c r="D655" s="1" t="str">
        <f>"219 Manuel Dr"</f>
        <v>219 Manuel Dr</v>
      </c>
      <c r="E655" s="1" t="str">
        <f>"College Station"</f>
        <v>College Station</v>
      </c>
      <c r="F655" s="1" t="str">
        <f>"77843"</f>
        <v>77843</v>
      </c>
      <c r="G655" t="s">
        <v>9</v>
      </c>
    </row>
    <row r="656" spans="1:7" ht="15" customHeight="1">
      <c r="A656" s="1" t="str">
        <f>"2937"</f>
        <v>2937</v>
      </c>
      <c r="B656" s="1">
        <f>""</f>
      </c>
      <c r="C656" s="1" t="str">
        <f>"ALL SAFE STORAGE"</f>
        <v>ALL SAFE STORAGE</v>
      </c>
      <c r="D656" s="1" t="str">
        <f>"13101 Wellborn Rd"</f>
        <v>13101 Wellborn Rd</v>
      </c>
      <c r="E656" s="1" t="str">
        <f>"College Station"</f>
        <v>College Station</v>
      </c>
      <c r="F656" s="1" t="str">
        <f>"77843"</f>
        <v>77843</v>
      </c>
      <c r="G656" t="s">
        <v>9</v>
      </c>
    </row>
    <row r="657" spans="1:7" ht="15" customHeight="1">
      <c r="A657" s="1" t="str">
        <f>"2938"</f>
        <v>2938</v>
      </c>
      <c r="B657" s="1">
        <f>""</f>
      </c>
      <c r="C657" s="1" t="str">
        <f>"400 HARVEY MITCHELL, STE.100 (VALLEY PARK CENTER)"</f>
        <v>400 HARVEY MITCHELL, STE.100 (VALLEY PARK CENTER)</v>
      </c>
      <c r="D657" s="1" t="str">
        <f>"400 Harvey Mitchell, Ste.100"</f>
        <v>400 Harvey Mitchell, Ste.100</v>
      </c>
      <c r="E657" s="1" t="str">
        <f>"Bryan"</f>
        <v>Bryan</v>
      </c>
      <c r="F657" s="1" t="str">
        <f>"77807"</f>
        <v>77807</v>
      </c>
      <c r="G657" t="s">
        <v>9</v>
      </c>
    </row>
    <row r="658" spans="1:7" ht="15" customHeight="1">
      <c r="A658" s="1" t="str">
        <f>"2939"</f>
        <v>2939</v>
      </c>
      <c r="B658" s="1">
        <f>""</f>
      </c>
      <c r="C658" s="1" t="str">
        <f>"702 E. UNIVERSITY, SUITE D"</f>
        <v>702 E. UNIVERSITY, SUITE D</v>
      </c>
      <c r="D658" s="1" t="str">
        <f>"702 E. University, Suite D"</f>
        <v>702 E. University, Suite D</v>
      </c>
      <c r="E658" s="1" t="str">
        <f aca="true" t="shared" si="27" ref="E658:E704">"College Station"</f>
        <v>College Station</v>
      </c>
      <c r="F658" s="1" t="str">
        <f aca="true" t="shared" si="28" ref="F658:F704">"77843"</f>
        <v>77843</v>
      </c>
      <c r="G658" t="s">
        <v>9</v>
      </c>
    </row>
    <row r="659" spans="1:7" ht="15" customHeight="1">
      <c r="A659" s="1" t="str">
        <f>"2999"</f>
        <v>2999</v>
      </c>
      <c r="B659" s="1" t="str">
        <f>"RINK"</f>
        <v>RINK</v>
      </c>
      <c r="C659" s="1" t="str">
        <f>"Arctic Wolf Ice Rink"</f>
        <v>Arctic Wolf Ice Rink</v>
      </c>
      <c r="D659" s="1" t="str">
        <f>"400 Holleman Dr E"</f>
        <v>400 Holleman Dr E</v>
      </c>
      <c r="E659" s="1" t="str">
        <f t="shared" si="27"/>
        <v>College Station</v>
      </c>
      <c r="F659" s="1" t="str">
        <f t="shared" si="28"/>
        <v>77843</v>
      </c>
      <c r="G659" t="s">
        <v>9</v>
      </c>
    </row>
    <row r="660" spans="1:7" ht="15" customHeight="1">
      <c r="A660" s="1" t="str">
        <f>"3050"</f>
        <v>3050</v>
      </c>
      <c r="B660" s="1">
        <f>""</f>
      </c>
      <c r="C660" s="1" t="str">
        <f>"GERG Main Office Building"</f>
        <v>GERG Main Office Building</v>
      </c>
      <c r="D660" s="1">
        <f>""</f>
      </c>
      <c r="E660" s="1" t="str">
        <f t="shared" si="27"/>
        <v>College Station</v>
      </c>
      <c r="F660" s="1" t="str">
        <f t="shared" si="28"/>
        <v>77843</v>
      </c>
      <c r="G660" t="s">
        <v>8</v>
      </c>
    </row>
    <row r="661" spans="1:7" ht="15" customHeight="1">
      <c r="A661" s="1" t="str">
        <f>"3051"</f>
        <v>3051</v>
      </c>
      <c r="B661" s="1">
        <f>""</f>
      </c>
      <c r="C661" s="1" t="str">
        <f>"GERG East Lab &amp; Office Building"</f>
        <v>GERG East Lab &amp; Office Building</v>
      </c>
      <c r="D661" s="1">
        <f>""</f>
      </c>
      <c r="E661" s="1" t="str">
        <f t="shared" si="27"/>
        <v>College Station</v>
      </c>
      <c r="F661" s="1" t="str">
        <f t="shared" si="28"/>
        <v>77843</v>
      </c>
      <c r="G661" t="s">
        <v>8</v>
      </c>
    </row>
    <row r="662" spans="1:7" ht="15" customHeight="1">
      <c r="A662" s="1" t="str">
        <f>"3053"</f>
        <v>3053</v>
      </c>
      <c r="B662" s="1">
        <f>""</f>
      </c>
      <c r="C662" s="1" t="str">
        <f>"GERG Portable Building"</f>
        <v>GERG Portable Building</v>
      </c>
      <c r="D662" s="1">
        <f>""</f>
      </c>
      <c r="E662" s="1" t="str">
        <f t="shared" si="27"/>
        <v>College Station</v>
      </c>
      <c r="F662" s="1" t="str">
        <f t="shared" si="28"/>
        <v>77843</v>
      </c>
      <c r="G662" t="s">
        <v>8</v>
      </c>
    </row>
    <row r="663" spans="1:7" ht="15" customHeight="1">
      <c r="A663" s="1" t="str">
        <f>"3054"</f>
        <v>3054</v>
      </c>
      <c r="B663" s="1">
        <f>""</f>
      </c>
      <c r="C663" s="1" t="str">
        <f>"GERG Warehouse"</f>
        <v>GERG Warehouse</v>
      </c>
      <c r="D663" s="1">
        <f>""</f>
      </c>
      <c r="E663" s="1" t="str">
        <f t="shared" si="27"/>
        <v>College Station</v>
      </c>
      <c r="F663" s="1" t="str">
        <f t="shared" si="28"/>
        <v>77843</v>
      </c>
      <c r="G663" t="s">
        <v>8</v>
      </c>
    </row>
    <row r="664" spans="1:7" ht="15" customHeight="1">
      <c r="A664" s="1" t="str">
        <f>"3055"</f>
        <v>3055</v>
      </c>
      <c r="B664" s="1">
        <f>""</f>
      </c>
      <c r="C664" s="1" t="str">
        <f>"GERG SOLVENT SHED"</f>
        <v>GERG SOLVENT SHED</v>
      </c>
      <c r="D664" s="1">
        <f>""</f>
      </c>
      <c r="E664" s="1" t="str">
        <f t="shared" si="27"/>
        <v>College Station</v>
      </c>
      <c r="F664" s="1" t="str">
        <f t="shared" si="28"/>
        <v>77843</v>
      </c>
      <c r="G664" t="s">
        <v>8</v>
      </c>
    </row>
    <row r="665" spans="1:7" ht="15" customHeight="1">
      <c r="A665" s="1" t="str">
        <f>"3056"</f>
        <v>3056</v>
      </c>
      <c r="B665" s="1">
        <f>""</f>
      </c>
      <c r="C665" s="1" t="str">
        <f>"GERG GAS SHED"</f>
        <v>GERG GAS SHED</v>
      </c>
      <c r="D665" s="1">
        <f>""</f>
      </c>
      <c r="E665" s="1" t="str">
        <f t="shared" si="27"/>
        <v>College Station</v>
      </c>
      <c r="F665" s="1" t="str">
        <f t="shared" si="28"/>
        <v>77843</v>
      </c>
      <c r="G665" t="s">
        <v>8</v>
      </c>
    </row>
    <row r="666" spans="1:7" ht="15" customHeight="1">
      <c r="A666" s="1" t="str">
        <f>"3098"</f>
        <v>3098</v>
      </c>
      <c r="B666" s="1">
        <f>""</f>
      </c>
      <c r="C666" s="1" t="str">
        <f>"Business Management Services Record Storage"</f>
        <v>Business Management Services Record Storage</v>
      </c>
      <c r="D666" s="1">
        <f>""</f>
      </c>
      <c r="E666" s="1" t="str">
        <f t="shared" si="27"/>
        <v>College Station</v>
      </c>
      <c r="F666" s="1" t="str">
        <f t="shared" si="28"/>
        <v>77843</v>
      </c>
      <c r="G666" t="s">
        <v>8</v>
      </c>
    </row>
    <row r="667" spans="1:7" ht="15" customHeight="1">
      <c r="A667" s="1" t="str">
        <f>"3099"</f>
        <v>3099</v>
      </c>
      <c r="B667" s="1" t="str">
        <f>"BMSB"</f>
        <v>BMSB</v>
      </c>
      <c r="C667" s="1" t="str">
        <f>"BUSINESS MANAGEMENT SERVICES BUILDNG"</f>
        <v>BUSINESS MANAGEMENT SERVICES BUILDNG</v>
      </c>
      <c r="D667" s="1" t="str">
        <f>"1501 South Texas Ave"</f>
        <v>1501 South Texas Ave</v>
      </c>
      <c r="E667" s="1" t="str">
        <f t="shared" si="27"/>
        <v>College Station</v>
      </c>
      <c r="F667" s="1" t="str">
        <f t="shared" si="28"/>
        <v>77843</v>
      </c>
      <c r="G667" t="s">
        <v>9</v>
      </c>
    </row>
    <row r="668" spans="1:7" ht="15" customHeight="1">
      <c r="A668" s="1" t="str">
        <f>"3100"</f>
        <v>3100</v>
      </c>
      <c r="B668" s="1" t="str">
        <f>"HGLR"</f>
        <v>HGLR</v>
      </c>
      <c r="C668" s="1" t="str">
        <f>"HAGLER CENTER"</f>
        <v>HAGLER CENTER</v>
      </c>
      <c r="D668" s="1" t="str">
        <f>"401 George Bush Dr."</f>
        <v>401 George Bush Dr.</v>
      </c>
      <c r="E668" s="1" t="str">
        <f t="shared" si="27"/>
        <v>College Station</v>
      </c>
      <c r="F668" s="1" t="str">
        <f t="shared" si="28"/>
        <v>77843</v>
      </c>
      <c r="G668" t="s">
        <v>9</v>
      </c>
    </row>
    <row r="669" spans="1:7" ht="15" customHeight="1">
      <c r="A669" s="1" t="str">
        <f>"3170"</f>
        <v>3170</v>
      </c>
      <c r="B669" s="1">
        <f>""</f>
      </c>
      <c r="C669" s="1" t="str">
        <f>"Horticulture Garden Volunteer Office"</f>
        <v>Horticulture Garden Volunteer Office</v>
      </c>
      <c r="D669" s="1" t="str">
        <f>"540 Floriculture Rd."</f>
        <v>540 Floriculture Rd.</v>
      </c>
      <c r="E669" s="1" t="str">
        <f t="shared" si="27"/>
        <v>College Station</v>
      </c>
      <c r="F669" s="1" t="str">
        <f t="shared" si="28"/>
        <v>77843</v>
      </c>
      <c r="G669" t="s">
        <v>9</v>
      </c>
    </row>
    <row r="670" spans="1:7" ht="15" customHeight="1">
      <c r="A670" s="1" t="str">
        <f>"3171"</f>
        <v>3171</v>
      </c>
      <c r="B670" s="1">
        <f>""</f>
      </c>
      <c r="C670" s="1" t="str">
        <f>"Horticulture Office"</f>
        <v>Horticulture Office</v>
      </c>
      <c r="D670" s="1" t="str">
        <f>"530 Floriculture Rd."</f>
        <v>530 Floriculture Rd.</v>
      </c>
      <c r="E670" s="1" t="str">
        <f t="shared" si="27"/>
        <v>College Station</v>
      </c>
      <c r="F670" s="1" t="str">
        <f t="shared" si="28"/>
        <v>77843</v>
      </c>
      <c r="G670" t="s">
        <v>9</v>
      </c>
    </row>
    <row r="671" spans="1:7" ht="15" customHeight="1">
      <c r="A671" s="1" t="str">
        <f>"3172"</f>
        <v>3172</v>
      </c>
      <c r="B671" s="1">
        <f>""</f>
      </c>
      <c r="C671" s="1" t="str">
        <f>"Horticulture Classroom"</f>
        <v>Horticulture Classroom</v>
      </c>
      <c r="D671" s="1" t="str">
        <f>"520 Floriculture Rd."</f>
        <v>520 Floriculture Rd.</v>
      </c>
      <c r="E671" s="1" t="str">
        <f t="shared" si="27"/>
        <v>College Station</v>
      </c>
      <c r="F671" s="1" t="str">
        <f t="shared" si="28"/>
        <v>77843</v>
      </c>
      <c r="G671" t="s">
        <v>9</v>
      </c>
    </row>
    <row r="672" spans="1:7" ht="15" customHeight="1">
      <c r="A672" s="1" t="str">
        <f>"3190"</f>
        <v>3190</v>
      </c>
      <c r="B672" s="1">
        <f>""</f>
      </c>
      <c r="C672" s="1" t="str">
        <f>"BECKY GATES CHILDREN'S CENTER MULTIPURPOSE BLDG"</f>
        <v>BECKY GATES CHILDREN'S CENTER MULTIPURPOSE BLDG</v>
      </c>
      <c r="D672" s="1" t="str">
        <f>"1121 Hensel Dr."</f>
        <v>1121 Hensel Dr.</v>
      </c>
      <c r="E672" s="1" t="str">
        <f t="shared" si="27"/>
        <v>College Station</v>
      </c>
      <c r="F672" s="1" t="str">
        <f t="shared" si="28"/>
        <v>77843</v>
      </c>
      <c r="G672" t="s">
        <v>9</v>
      </c>
    </row>
    <row r="673" spans="1:7" ht="15" customHeight="1">
      <c r="A673" s="1" t="str">
        <f>"3197"</f>
        <v>3197</v>
      </c>
      <c r="B673" s="1">
        <f>""</f>
      </c>
      <c r="C673" s="1" t="str">
        <f>"UNIVERSITY APTS. COMMUNITY MAINTENANCE BLDG."</f>
        <v>UNIVERSITY APTS. COMMUNITY MAINTENANCE BLDG.</v>
      </c>
      <c r="D673" s="1" t="str">
        <f>"225 Calvin Moore Av."</f>
        <v>225 Calvin Moore Av.</v>
      </c>
      <c r="E673" s="1" t="str">
        <f t="shared" si="27"/>
        <v>College Station</v>
      </c>
      <c r="F673" s="1" t="str">
        <f t="shared" si="28"/>
        <v>77843</v>
      </c>
      <c r="G673" t="s">
        <v>9</v>
      </c>
    </row>
    <row r="674" spans="1:7" ht="15" customHeight="1">
      <c r="A674" s="1" t="str">
        <f>"3198"</f>
        <v>3198</v>
      </c>
      <c r="B674" s="1">
        <f>""</f>
      </c>
      <c r="C674" s="1" t="str">
        <f>"University Apartments Community Center"</f>
        <v>University Apartments Community Center</v>
      </c>
      <c r="D674" s="1" t="str">
        <f>"250 Calvin Moore Av."</f>
        <v>250 Calvin Moore Av.</v>
      </c>
      <c r="E674" s="1" t="str">
        <f t="shared" si="27"/>
        <v>College Station</v>
      </c>
      <c r="F674" s="1" t="str">
        <f t="shared" si="28"/>
        <v>77843</v>
      </c>
      <c r="G674" t="s">
        <v>9</v>
      </c>
    </row>
    <row r="675" spans="1:7" ht="15" customHeight="1">
      <c r="A675" s="1" t="str">
        <f>"3199"</f>
        <v>3199</v>
      </c>
      <c r="B675" s="1">
        <f>""</f>
      </c>
      <c r="C675" s="1" t="str">
        <f>"BECKY GATES CHILDREN'S CENTER"</f>
        <v>BECKY GATES CHILDREN'S CENTER</v>
      </c>
      <c r="D675" s="1" t="str">
        <f>"1125 Hensel Dr."</f>
        <v>1125 Hensel Dr.</v>
      </c>
      <c r="E675" s="1" t="str">
        <f t="shared" si="27"/>
        <v>College Station</v>
      </c>
      <c r="F675" s="1" t="str">
        <f t="shared" si="28"/>
        <v>77843</v>
      </c>
      <c r="G675" t="s">
        <v>9</v>
      </c>
    </row>
    <row r="676" spans="1:7" ht="15" customHeight="1">
      <c r="A676" s="1" t="str">
        <f>"3200"</f>
        <v>3200</v>
      </c>
      <c r="B676" s="1">
        <f>""</f>
      </c>
      <c r="C676" s="1" t="str">
        <f>"CONNALLY BUILDING"</f>
        <v>CONNALLY BUILDING</v>
      </c>
      <c r="D676" s="1" t="str">
        <f>"301 Tarrow St."</f>
        <v>301 Tarrow St.</v>
      </c>
      <c r="E676" s="1" t="str">
        <f t="shared" si="27"/>
        <v>College Station</v>
      </c>
      <c r="F676" s="1" t="str">
        <f t="shared" si="28"/>
        <v>77843</v>
      </c>
      <c r="G676" t="s">
        <v>9</v>
      </c>
    </row>
    <row r="677" spans="1:7" ht="15" customHeight="1">
      <c r="A677" s="1" t="str">
        <f>"3201"</f>
        <v>3201</v>
      </c>
      <c r="B677" s="1">
        <f>""</f>
      </c>
      <c r="C677" s="1" t="str">
        <f>"STATE HGTRS THERMAL PLANT"</f>
        <v>STATE HGTRS THERMAL PLANT</v>
      </c>
      <c r="D677" s="1">
        <f>""</f>
      </c>
      <c r="E677" s="1" t="str">
        <f t="shared" si="27"/>
        <v>College Station</v>
      </c>
      <c r="F677" s="1" t="str">
        <f t="shared" si="28"/>
        <v>77843</v>
      </c>
      <c r="G677" t="s">
        <v>8</v>
      </c>
    </row>
    <row r="678" spans="1:7" ht="15" customHeight="1">
      <c r="A678" s="1" t="str">
        <f>"3205"</f>
        <v>3205</v>
      </c>
      <c r="B678" s="1" t="str">
        <f>"AMSB"</f>
        <v>AMSB</v>
      </c>
      <c r="C678" s="1" t="str">
        <f>"A&amp;M SYSTEM BUILDING"</f>
        <v>A&amp;M SYSTEM BUILDING</v>
      </c>
      <c r="D678" s="1" t="str">
        <f>"200 Technology Way"</f>
        <v>200 Technology Way</v>
      </c>
      <c r="E678" s="1" t="str">
        <f t="shared" si="27"/>
        <v>College Station</v>
      </c>
      <c r="F678" s="1" t="str">
        <f t="shared" si="28"/>
        <v>77843</v>
      </c>
      <c r="G678" t="s">
        <v>9</v>
      </c>
    </row>
    <row r="679" spans="1:7" ht="15" customHeight="1">
      <c r="A679" s="1" t="str">
        <f>"3400"</f>
        <v>3400</v>
      </c>
      <c r="B679" s="1" t="str">
        <f>"USB"</f>
        <v>USB</v>
      </c>
      <c r="C679" s="1" t="str">
        <f>"UNIVERSITY SERVICES BLDG"</f>
        <v>UNIVERSITY SERVICES BLDG</v>
      </c>
      <c r="D679" s="1" t="str">
        <f>"3380 University Dr. E."</f>
        <v>3380 University Dr. E.</v>
      </c>
      <c r="E679" s="1" t="str">
        <f t="shared" si="27"/>
        <v>College Station</v>
      </c>
      <c r="F679" s="1" t="str">
        <f t="shared" si="28"/>
        <v>77843</v>
      </c>
      <c r="G679" t="s">
        <v>9</v>
      </c>
    </row>
    <row r="680" spans="1:7" ht="15" customHeight="1">
      <c r="A680" s="1" t="str">
        <f>"4001"</f>
        <v>4001</v>
      </c>
      <c r="B680" s="1">
        <f>""</f>
      </c>
      <c r="C680" s="1" t="str">
        <f>"WHITE (G.R.) CONFERENCE CTR"</f>
        <v>WHITE (G.R.) CONFERENCE CTR</v>
      </c>
      <c r="D680" s="1" t="str">
        <f>"7707 Raymond Stotzer Pw."</f>
        <v>7707 Raymond Stotzer Pw.</v>
      </c>
      <c r="E680" s="1" t="str">
        <f t="shared" si="27"/>
        <v>College Station</v>
      </c>
      <c r="F680" s="1" t="str">
        <f t="shared" si="28"/>
        <v>77843</v>
      </c>
      <c r="G680" t="s">
        <v>9</v>
      </c>
    </row>
    <row r="681" spans="1:7" ht="15" customHeight="1">
      <c r="A681" s="1" t="str">
        <f>"4002"</f>
        <v>4002</v>
      </c>
      <c r="B681" s="1">
        <f>""</f>
      </c>
      <c r="C681" s="1" t="str">
        <f>"BEEF CATTLE CENTER HEADQUARTERS"</f>
        <v>BEEF CATTLE CENTER HEADQUARTERS</v>
      </c>
      <c r="D681" s="1" t="str">
        <f>"7771 Raymond Stotzer Pw."</f>
        <v>7771 Raymond Stotzer Pw.</v>
      </c>
      <c r="E681" s="1" t="str">
        <f t="shared" si="27"/>
        <v>College Station</v>
      </c>
      <c r="F681" s="1" t="str">
        <f t="shared" si="28"/>
        <v>77843</v>
      </c>
      <c r="G681" t="s">
        <v>9</v>
      </c>
    </row>
    <row r="682" spans="1:7" ht="15" customHeight="1">
      <c r="A682" s="1" t="str">
        <f>"4003"</f>
        <v>4003</v>
      </c>
      <c r="B682" s="1">
        <f>""</f>
      </c>
      <c r="C682" s="1" t="str">
        <f>"BEEF CATTLE CENTER FEED MILL"</f>
        <v>BEEF CATTLE CENTER FEED MILL</v>
      </c>
      <c r="D682" s="1">
        <f>""</f>
      </c>
      <c r="E682" s="1" t="str">
        <f t="shared" si="27"/>
        <v>College Station</v>
      </c>
      <c r="F682" s="1" t="str">
        <f t="shared" si="28"/>
        <v>77843</v>
      </c>
      <c r="G682" t="s">
        <v>8</v>
      </c>
    </row>
    <row r="683" spans="1:7" ht="15" customHeight="1">
      <c r="A683" s="1" t="str">
        <f>"4004"</f>
        <v>4004</v>
      </c>
      <c r="B683" s="1">
        <f>""</f>
      </c>
      <c r="C683" s="1" t="str">
        <f>"BEEF CATTLE CENTER EQUIP STORAG"</f>
        <v>BEEF CATTLE CENTER EQUIP STORAG</v>
      </c>
      <c r="D683" s="1">
        <f>""</f>
      </c>
      <c r="E683" s="1" t="str">
        <f t="shared" si="27"/>
        <v>College Station</v>
      </c>
      <c r="F683" s="1" t="str">
        <f t="shared" si="28"/>
        <v>77843</v>
      </c>
      <c r="G683" t="s">
        <v>8</v>
      </c>
    </row>
    <row r="684" spans="1:7" ht="15" customHeight="1">
      <c r="A684" s="1" t="str">
        <f>"4005"</f>
        <v>4005</v>
      </c>
      <c r="B684" s="1">
        <f>""</f>
      </c>
      <c r="C684" s="1" t="str">
        <f>"BEEF CATTLE CENTER LAB/RESTROOM"</f>
        <v>BEEF CATTLE CENTER LAB/RESTROOM</v>
      </c>
      <c r="D684" s="1">
        <f>""</f>
      </c>
      <c r="E684" s="1" t="str">
        <f t="shared" si="27"/>
        <v>College Station</v>
      </c>
      <c r="F684" s="1" t="str">
        <f t="shared" si="28"/>
        <v>77843</v>
      </c>
      <c r="G684" t="s">
        <v>8</v>
      </c>
    </row>
    <row r="685" spans="1:7" ht="15" customHeight="1">
      <c r="A685" s="1" t="str">
        <f>"4006"</f>
        <v>4006</v>
      </c>
      <c r="B685" s="1">
        <f>""</f>
      </c>
      <c r="C685" s="1" t="str">
        <f>"BEEF CATTLE CENTER FEED STORAGE"</f>
        <v>BEEF CATTLE CENTER FEED STORAGE</v>
      </c>
      <c r="D685" s="1">
        <f>""</f>
      </c>
      <c r="E685" s="1" t="str">
        <f t="shared" si="27"/>
        <v>College Station</v>
      </c>
      <c r="F685" s="1" t="str">
        <f t="shared" si="28"/>
        <v>77843</v>
      </c>
      <c r="G685" t="s">
        <v>8</v>
      </c>
    </row>
    <row r="686" spans="1:7" ht="15" customHeight="1">
      <c r="A686" s="1" t="str">
        <f>"4008"</f>
        <v>4008</v>
      </c>
      <c r="B686" s="1">
        <f>""</f>
      </c>
      <c r="C686" s="1" t="str">
        <f>"BEEF CATTLE CENTER TACK STORAGE"</f>
        <v>BEEF CATTLE CENTER TACK STORAGE</v>
      </c>
      <c r="D686" s="1">
        <f>""</f>
      </c>
      <c r="E686" s="1" t="str">
        <f t="shared" si="27"/>
        <v>College Station</v>
      </c>
      <c r="F686" s="1" t="str">
        <f t="shared" si="28"/>
        <v>77843</v>
      </c>
      <c r="G686" t="s">
        <v>8</v>
      </c>
    </row>
    <row r="687" spans="1:7" ht="15" customHeight="1">
      <c r="A687" s="1" t="str">
        <f>"4010"</f>
        <v>4010</v>
      </c>
      <c r="B687" s="1">
        <f>""</f>
      </c>
      <c r="C687" s="1" t="str">
        <f>"NUTRITION/PHYSIOLOGY CENTER"</f>
        <v>NUTRITION/PHYSIOLOGY CENTER</v>
      </c>
      <c r="D687" s="1" t="str">
        <f>"7763 Raymond Stotzer Pw."</f>
        <v>7763 Raymond Stotzer Pw.</v>
      </c>
      <c r="E687" s="1" t="str">
        <f t="shared" si="27"/>
        <v>College Station</v>
      </c>
      <c r="F687" s="1" t="str">
        <f t="shared" si="28"/>
        <v>77843</v>
      </c>
      <c r="G687" t="s">
        <v>9</v>
      </c>
    </row>
    <row r="688" spans="1:7" ht="15" customHeight="1">
      <c r="A688" s="1" t="str">
        <f>"4011"</f>
        <v>4011</v>
      </c>
      <c r="B688" s="1">
        <f>""</f>
      </c>
      <c r="C688" s="1" t="str">
        <f>"EQUIPMENT STORAGE/DIET PREP"</f>
        <v>EQUIPMENT STORAGE/DIET PREP</v>
      </c>
      <c r="D688" s="1">
        <f>""</f>
      </c>
      <c r="E688" s="1" t="str">
        <f t="shared" si="27"/>
        <v>College Station</v>
      </c>
      <c r="F688" s="1" t="str">
        <f t="shared" si="28"/>
        <v>77843</v>
      </c>
      <c r="G688" t="s">
        <v>8</v>
      </c>
    </row>
    <row r="689" spans="1:7" ht="15" customHeight="1">
      <c r="A689" s="1" t="str">
        <f>"4012"</f>
        <v>4012</v>
      </c>
      <c r="B689" s="1">
        <f>""</f>
      </c>
      <c r="C689" s="1" t="str">
        <f>"SHEEP FEEDING"</f>
        <v>SHEEP FEEDING</v>
      </c>
      <c r="D689" s="1">
        <f>""</f>
      </c>
      <c r="E689" s="1" t="str">
        <f t="shared" si="27"/>
        <v>College Station</v>
      </c>
      <c r="F689" s="1" t="str">
        <f t="shared" si="28"/>
        <v>77843</v>
      </c>
      <c r="G689" t="s">
        <v>8</v>
      </c>
    </row>
    <row r="690" spans="1:7" ht="15" customHeight="1">
      <c r="A690" s="1" t="str">
        <f>"4013"</f>
        <v>4013</v>
      </c>
      <c r="B690" s="1">
        <f>""</f>
      </c>
      <c r="C690" s="1" t="str">
        <f>"CATTLE FEEDING"</f>
        <v>CATTLE FEEDING</v>
      </c>
      <c r="D690" s="1">
        <f>""</f>
      </c>
      <c r="E690" s="1" t="str">
        <f t="shared" si="27"/>
        <v>College Station</v>
      </c>
      <c r="F690" s="1" t="str">
        <f t="shared" si="28"/>
        <v>77843</v>
      </c>
      <c r="G690" t="s">
        <v>8</v>
      </c>
    </row>
    <row r="691" spans="1:7" ht="15" customHeight="1">
      <c r="A691" s="1" t="str">
        <f>"4014"</f>
        <v>4014</v>
      </c>
      <c r="B691" s="1">
        <f>""</f>
      </c>
      <c r="C691" s="1" t="str">
        <f>"CATTLE PROCESSING"</f>
        <v>CATTLE PROCESSING</v>
      </c>
      <c r="D691" s="1">
        <f>""</f>
      </c>
      <c r="E691" s="1" t="str">
        <f t="shared" si="27"/>
        <v>College Station</v>
      </c>
      <c r="F691" s="1" t="str">
        <f t="shared" si="28"/>
        <v>77843</v>
      </c>
      <c r="G691" t="s">
        <v>8</v>
      </c>
    </row>
    <row r="692" spans="1:7" ht="15" customHeight="1">
      <c r="A692" s="1" t="str">
        <f>"4015"</f>
        <v>4015</v>
      </c>
      <c r="B692" s="1">
        <f>""</f>
      </c>
      <c r="C692" s="1" t="str">
        <f>"INTERDISCIPLINARY BARN"</f>
        <v>INTERDISCIPLINARY BARN</v>
      </c>
      <c r="D692" s="1">
        <f>""</f>
      </c>
      <c r="E692" s="1" t="str">
        <f t="shared" si="27"/>
        <v>College Station</v>
      </c>
      <c r="F692" s="1" t="str">
        <f t="shared" si="28"/>
        <v>77843</v>
      </c>
      <c r="G692" t="s">
        <v>8</v>
      </c>
    </row>
    <row r="693" spans="1:7" ht="15" customHeight="1">
      <c r="A693" s="1" t="str">
        <f>"4016"</f>
        <v>4016</v>
      </c>
      <c r="B693" s="1">
        <f>""</f>
      </c>
      <c r="C693" s="1" t="str">
        <f>"FARROWING/NURSERY"</f>
        <v>FARROWING/NURSERY</v>
      </c>
      <c r="D693" s="1" t="str">
        <f>"7767 Raymond Stotzer Pw."</f>
        <v>7767 Raymond Stotzer Pw.</v>
      </c>
      <c r="E693" s="1" t="str">
        <f t="shared" si="27"/>
        <v>College Station</v>
      </c>
      <c r="F693" s="1" t="str">
        <f t="shared" si="28"/>
        <v>77843</v>
      </c>
      <c r="G693" t="s">
        <v>9</v>
      </c>
    </row>
    <row r="694" spans="1:7" ht="15" customHeight="1">
      <c r="A694" s="1" t="str">
        <f>"4017"</f>
        <v>4017</v>
      </c>
      <c r="B694" s="1">
        <f>""</f>
      </c>
      <c r="C694" s="1" t="str">
        <f>"COMPOST SHED"</f>
        <v>COMPOST SHED</v>
      </c>
      <c r="D694" s="1">
        <f>""</f>
      </c>
      <c r="E694" s="1" t="str">
        <f t="shared" si="27"/>
        <v>College Station</v>
      </c>
      <c r="F694" s="1" t="str">
        <f t="shared" si="28"/>
        <v>77843</v>
      </c>
      <c r="G694" t="s">
        <v>8</v>
      </c>
    </row>
    <row r="695" spans="1:7" ht="15" customHeight="1">
      <c r="A695" s="1" t="str">
        <f>"4020"</f>
        <v>4020</v>
      </c>
      <c r="B695" s="1">
        <f>""</f>
      </c>
      <c r="C695" s="1" t="str">
        <f>"SHEEP &amp; GOAT CENTER"</f>
        <v>SHEEP &amp; GOAT CENTER</v>
      </c>
      <c r="D695" s="1" t="str">
        <f>"7729 Raymond Stotzer Pw."</f>
        <v>7729 Raymond Stotzer Pw.</v>
      </c>
      <c r="E695" s="1" t="str">
        <f t="shared" si="27"/>
        <v>College Station</v>
      </c>
      <c r="F695" s="1" t="str">
        <f t="shared" si="28"/>
        <v>77843</v>
      </c>
      <c r="G695" t="s">
        <v>9</v>
      </c>
    </row>
    <row r="696" spans="1:7" ht="15" customHeight="1">
      <c r="A696" s="1" t="str">
        <f>"4021"</f>
        <v>4021</v>
      </c>
      <c r="B696" s="1">
        <f>""</f>
      </c>
      <c r="C696" s="1" t="str">
        <f>"LIVESTOCK HOUSING"</f>
        <v>LIVESTOCK HOUSING</v>
      </c>
      <c r="D696" s="1">
        <f>""</f>
      </c>
      <c r="E696" s="1" t="str">
        <f t="shared" si="27"/>
        <v>College Station</v>
      </c>
      <c r="F696" s="1" t="str">
        <f t="shared" si="28"/>
        <v>77843</v>
      </c>
      <c r="G696" t="s">
        <v>8</v>
      </c>
    </row>
    <row r="697" spans="1:7" ht="15" customHeight="1">
      <c r="A697" s="1" t="str">
        <f>"4022"</f>
        <v>4022</v>
      </c>
      <c r="B697" s="1">
        <f>""</f>
      </c>
      <c r="C697" s="1" t="str">
        <f>"ISOLATION BARN"</f>
        <v>ISOLATION BARN</v>
      </c>
      <c r="D697" s="1">
        <f>""</f>
      </c>
      <c r="E697" s="1" t="str">
        <f t="shared" si="27"/>
        <v>College Station</v>
      </c>
      <c r="F697" s="1" t="str">
        <f t="shared" si="28"/>
        <v>77843</v>
      </c>
      <c r="G697" t="s">
        <v>8</v>
      </c>
    </row>
    <row r="698" spans="1:7" ht="15" customHeight="1">
      <c r="A698" s="1" t="str">
        <f>"4025"</f>
        <v>4025</v>
      </c>
      <c r="B698" s="1">
        <f>""</f>
      </c>
      <c r="C698" s="1" t="str">
        <f>"THOMSEN ANIMAL EUTHENICS CENTER"</f>
        <v>THOMSEN ANIMAL EUTHENICS CENTER</v>
      </c>
      <c r="D698" s="1" t="str">
        <f>"7735 Raymond Stotzer Pw."</f>
        <v>7735 Raymond Stotzer Pw.</v>
      </c>
      <c r="E698" s="1" t="str">
        <f t="shared" si="27"/>
        <v>College Station</v>
      </c>
      <c r="F698" s="1" t="str">
        <f t="shared" si="28"/>
        <v>77843</v>
      </c>
      <c r="G698" t="s">
        <v>9</v>
      </c>
    </row>
    <row r="699" spans="1:7" ht="15" customHeight="1">
      <c r="A699" s="1" t="str">
        <f>"4050"</f>
        <v>4050</v>
      </c>
      <c r="B699" s="1" t="str">
        <f>"WWTP"</f>
        <v>WWTP</v>
      </c>
      <c r="C699" s="1" t="str">
        <f>"WASTEWATER TREATMENT PLANT"</f>
        <v>WASTEWATER TREATMENT PLANT</v>
      </c>
      <c r="D699" s="1" t="str">
        <f>"9685 White's Creek Rd."</f>
        <v>9685 White's Creek Rd.</v>
      </c>
      <c r="E699" s="1" t="str">
        <f t="shared" si="27"/>
        <v>College Station</v>
      </c>
      <c r="F699" s="1" t="str">
        <f t="shared" si="28"/>
        <v>77843</v>
      </c>
      <c r="G699" t="s">
        <v>9</v>
      </c>
    </row>
    <row r="700" spans="1:7" ht="15" customHeight="1">
      <c r="A700" s="1" t="str">
        <f>"4051"</f>
        <v>4051</v>
      </c>
      <c r="B700" s="1" t="str">
        <f>"TPPP"</f>
        <v>TPPP</v>
      </c>
      <c r="C700" s="1" t="str">
        <f>"WWTP Primary Pump Building"</f>
        <v>WWTP Primary Pump Building</v>
      </c>
      <c r="D700" s="1">
        <f>""</f>
      </c>
      <c r="E700" s="1" t="str">
        <f t="shared" si="27"/>
        <v>College Station</v>
      </c>
      <c r="F700" s="1" t="str">
        <f t="shared" si="28"/>
        <v>77843</v>
      </c>
      <c r="G700" t="s">
        <v>8</v>
      </c>
    </row>
    <row r="701" spans="1:7" ht="15" customHeight="1">
      <c r="A701" s="1" t="str">
        <f>"4052"</f>
        <v>4052</v>
      </c>
      <c r="B701" s="1" t="str">
        <f>"TPSP"</f>
        <v>TPSP</v>
      </c>
      <c r="C701" s="1" t="str">
        <f>"WWTP Secondary Pump Building"</f>
        <v>WWTP Secondary Pump Building</v>
      </c>
      <c r="D701" s="1">
        <f>""</f>
      </c>
      <c r="E701" s="1" t="str">
        <f t="shared" si="27"/>
        <v>College Station</v>
      </c>
      <c r="F701" s="1" t="str">
        <f t="shared" si="28"/>
        <v>77843</v>
      </c>
      <c r="G701" t="s">
        <v>8</v>
      </c>
    </row>
    <row r="702" spans="1:7" ht="15" customHeight="1">
      <c r="A702" s="1" t="str">
        <f>"4053"</f>
        <v>4053</v>
      </c>
      <c r="B702" s="1" t="str">
        <f>"TPDB"</f>
        <v>TPDB</v>
      </c>
      <c r="C702" s="1" t="str">
        <f>"WWTP Disinfection Building"</f>
        <v>WWTP Disinfection Building</v>
      </c>
      <c r="D702" s="1">
        <f>""</f>
      </c>
      <c r="E702" s="1" t="str">
        <f t="shared" si="27"/>
        <v>College Station</v>
      </c>
      <c r="F702" s="1" t="str">
        <f t="shared" si="28"/>
        <v>77843</v>
      </c>
      <c r="G702" t="s">
        <v>8</v>
      </c>
    </row>
    <row r="703" spans="1:7" ht="15" customHeight="1">
      <c r="A703" s="1" t="str">
        <f>"4054"</f>
        <v>4054</v>
      </c>
      <c r="B703" s="1" t="str">
        <f>"TPBB"</f>
        <v>TPBB</v>
      </c>
      <c r="C703" s="1" t="str">
        <f>"WWTP Digester Boiler Building"</f>
        <v>WWTP Digester Boiler Building</v>
      </c>
      <c r="D703" s="1">
        <f>""</f>
      </c>
      <c r="E703" s="1" t="str">
        <f t="shared" si="27"/>
        <v>College Station</v>
      </c>
      <c r="F703" s="1" t="str">
        <f t="shared" si="28"/>
        <v>77843</v>
      </c>
      <c r="G703" t="s">
        <v>8</v>
      </c>
    </row>
    <row r="704" spans="1:7" ht="15" customHeight="1">
      <c r="A704" s="1" t="str">
        <f>"4055"</f>
        <v>4055</v>
      </c>
      <c r="B704" s="1" t="str">
        <f>"TPES"</f>
        <v>TPES</v>
      </c>
      <c r="C704" s="1" t="str">
        <f>"WWTP Equipment Storage Building"</f>
        <v>WWTP Equipment Storage Building</v>
      </c>
      <c r="D704" s="1">
        <f>""</f>
      </c>
      <c r="E704" s="1" t="str">
        <f t="shared" si="27"/>
        <v>College Station</v>
      </c>
      <c r="F704" s="1" t="str">
        <f t="shared" si="28"/>
        <v>77843</v>
      </c>
      <c r="G704" t="s">
        <v>8</v>
      </c>
    </row>
    <row r="705" spans="1:7" ht="15" customHeight="1">
      <c r="A705" s="1" t="str">
        <f>"4430"</f>
        <v>4430</v>
      </c>
      <c r="B705" s="1">
        <f>""</f>
      </c>
      <c r="C705" s="1" t="str">
        <f>"AG COMM PRINT CTR &amp; STORAGE BLD"</f>
        <v>AG COMM PRINT CTR &amp; STORAGE BLD</v>
      </c>
      <c r="D705" s="1" t="str">
        <f>"1322 Avenue D"</f>
        <v>1322 Avenue D</v>
      </c>
      <c r="E705" s="1" t="str">
        <f>"Bryan"</f>
        <v>Bryan</v>
      </c>
      <c r="F705" s="1" t="str">
        <f>"77807"</f>
        <v>77807</v>
      </c>
      <c r="G705" t="s">
        <v>9</v>
      </c>
    </row>
    <row r="706" spans="1:7" ht="15" customHeight="1">
      <c r="A706" s="1" t="str">
        <f>"4431"</f>
        <v>4431</v>
      </c>
      <c r="B706" s="1">
        <f>""</f>
      </c>
      <c r="C706" s="1" t="str">
        <f>"EXTENSION CENTER OFFICE BUILDING"</f>
        <v>EXTENSION CENTER OFFICE BUILDING</v>
      </c>
      <c r="D706" s="1" t="str">
        <f>"1320 Avenue D"</f>
        <v>1320 Avenue D</v>
      </c>
      <c r="E706" s="1" t="str">
        <f>"Bryan"</f>
        <v>Bryan</v>
      </c>
      <c r="F706" s="1" t="str">
        <f>"77807"</f>
        <v>77807</v>
      </c>
      <c r="G706" t="s">
        <v>9</v>
      </c>
    </row>
    <row r="707" spans="1:7" ht="15" customHeight="1">
      <c r="A707" s="1" t="str">
        <f>"4542"</f>
        <v>4542</v>
      </c>
      <c r="B707" s="1">
        <f>""</f>
      </c>
      <c r="C707" s="1" t="str">
        <f>"TVMC-WILDLIFE &amp; EXOTIC ANIMALS"</f>
        <v>TVMC-WILDLIFE &amp; EXOTIC ANIMALS</v>
      </c>
      <c r="D707" s="1" t="str">
        <f>"2771 F &amp; B Rd."</f>
        <v>2771 F &amp; B Rd.</v>
      </c>
      <c r="E707" s="1" t="str">
        <f>"College Station"</f>
        <v>College Station</v>
      </c>
      <c r="F707" s="1" t="str">
        <f>"77843"</f>
        <v>77843</v>
      </c>
      <c r="G707" t="s">
        <v>9</v>
      </c>
    </row>
    <row r="708" spans="1:7" ht="15" customHeight="1">
      <c r="A708" s="1" t="str">
        <f>"4634"</f>
        <v>4634</v>
      </c>
      <c r="B708" s="1" t="str">
        <f>"FSSB"</f>
        <v>FSSB</v>
      </c>
      <c r="C708" s="1" t="str">
        <f>"FOUNDATION SEED BUILDING"</f>
        <v>FOUNDATION SEED BUILDING</v>
      </c>
      <c r="D708" s="1" t="str">
        <f>"405 Turk Rd."</f>
        <v>405 Turk Rd.</v>
      </c>
      <c r="E708" s="1" t="str">
        <f>"College Station"</f>
        <v>College Station</v>
      </c>
      <c r="F708" s="1" t="str">
        <f>"77843"</f>
        <v>77843</v>
      </c>
      <c r="G708" t="s">
        <v>9</v>
      </c>
    </row>
    <row r="709" spans="1:7" ht="15" customHeight="1">
      <c r="A709" s="1" t="str">
        <f>"5200"</f>
        <v>5200</v>
      </c>
      <c r="B709" s="1">
        <f>""</f>
      </c>
      <c r="C709" s="1" t="str">
        <f>"Metal Building"</f>
        <v>Metal Building</v>
      </c>
      <c r="D709" s="1">
        <f>""</f>
      </c>
      <c r="E709" s="1" t="str">
        <f>"College Station"</f>
        <v>College Station</v>
      </c>
      <c r="F709" s="1" t="str">
        <f>"77843"</f>
        <v>77843</v>
      </c>
      <c r="G709" t="s">
        <v>8</v>
      </c>
    </row>
    <row r="710" spans="1:7" ht="15" customHeight="1">
      <c r="A710" s="1" t="str">
        <f>"5499"</f>
        <v>5499</v>
      </c>
      <c r="B710" s="1">
        <f>""</f>
      </c>
      <c r="C710" s="1" t="str">
        <f>"ANIMAL SHELTER"</f>
        <v>ANIMAL SHELTER</v>
      </c>
      <c r="D710" s="1" t="str">
        <f>"1220 Avenue A"</f>
        <v>1220 Avenue A</v>
      </c>
      <c r="E710" s="1" t="str">
        <f aca="true" t="shared" si="29" ref="E710:E741">"Bryan"</f>
        <v>Bryan</v>
      </c>
      <c r="F710" s="1" t="str">
        <f aca="true" t="shared" si="30" ref="F710:F741">"77807"</f>
        <v>77807</v>
      </c>
      <c r="G710" t="s">
        <v>9</v>
      </c>
    </row>
    <row r="711" spans="1:7" ht="15" customHeight="1">
      <c r="A711" s="1" t="str">
        <f>"6030"</f>
        <v>6030</v>
      </c>
      <c r="B711" s="1" t="str">
        <f>"ELTC"</f>
        <v>ELTC</v>
      </c>
      <c r="C711" s="1" t="str">
        <f>"TEEX HANGER/CLASSROOMS"</f>
        <v>TEEX HANGER/CLASSROOMS</v>
      </c>
      <c r="D711" s="1" t="str">
        <f>"1020 Eighth St."</f>
        <v>1020 Eighth St.</v>
      </c>
      <c r="E711" s="1" t="str">
        <f t="shared" si="29"/>
        <v>Bryan</v>
      </c>
      <c r="F711" s="1" t="str">
        <f t="shared" si="30"/>
        <v>77807</v>
      </c>
      <c r="G711" t="s">
        <v>9</v>
      </c>
    </row>
    <row r="712" spans="1:7" ht="15" customHeight="1">
      <c r="A712" s="1" t="str">
        <f>"6047"</f>
        <v>6047</v>
      </c>
      <c r="B712" s="1">
        <f>""</f>
      </c>
      <c r="C712" s="1" t="str">
        <f>"CHEMICAL SUPPLIES STORAGE"</f>
        <v>CHEMICAL SUPPLIES STORAGE</v>
      </c>
      <c r="D712" s="1" t="str">
        <f>"1035 Seventh St."</f>
        <v>1035 Seventh St.</v>
      </c>
      <c r="E712" s="1" t="str">
        <f t="shared" si="29"/>
        <v>Bryan</v>
      </c>
      <c r="F712" s="1" t="str">
        <f t="shared" si="30"/>
        <v>77807</v>
      </c>
      <c r="G712" t="s">
        <v>9</v>
      </c>
    </row>
    <row r="713" spans="1:7" ht="15" customHeight="1">
      <c r="A713" s="1" t="str">
        <f>"6060"</f>
        <v>6060</v>
      </c>
      <c r="B713" s="1">
        <f>""</f>
      </c>
      <c r="C713" s="1" t="str">
        <f>"VOLATILE STORAGE"</f>
        <v>VOLATILE STORAGE</v>
      </c>
      <c r="D713" s="1" t="str">
        <f>"1030 4th Street"</f>
        <v>1030 4th Street</v>
      </c>
      <c r="E713" s="1" t="str">
        <f t="shared" si="29"/>
        <v>Bryan</v>
      </c>
      <c r="F713" s="1" t="str">
        <f t="shared" si="30"/>
        <v>77807</v>
      </c>
      <c r="G713" t="s">
        <v>9</v>
      </c>
    </row>
    <row r="714" spans="1:7" ht="15" customHeight="1">
      <c r="A714" s="1" t="str">
        <f>"6069"</f>
        <v>6069</v>
      </c>
      <c r="B714" s="1">
        <f>""</f>
      </c>
      <c r="C714" s="1" t="str">
        <f>"RESEARCH SUPPORT BLDG"</f>
        <v>RESEARCH SUPPORT BLDG</v>
      </c>
      <c r="D714" s="1" t="str">
        <f>"1548 Avenue A"</f>
        <v>1548 Avenue A</v>
      </c>
      <c r="E714" s="1" t="str">
        <f t="shared" si="29"/>
        <v>Bryan</v>
      </c>
      <c r="F714" s="1" t="str">
        <f t="shared" si="30"/>
        <v>77807</v>
      </c>
      <c r="G714" t="s">
        <v>9</v>
      </c>
    </row>
    <row r="715" spans="1:7" ht="15" customHeight="1">
      <c r="A715" s="1" t="str">
        <f>"6071"</f>
        <v>6071</v>
      </c>
      <c r="B715" s="1">
        <f>""</f>
      </c>
      <c r="C715" s="1" t="str">
        <f>"ITSI STORAGE"</f>
        <v>ITSI STORAGE</v>
      </c>
      <c r="D715" s="1" t="str">
        <f>"1490 Avenue A"</f>
        <v>1490 Avenue A</v>
      </c>
      <c r="E715" s="1" t="str">
        <f t="shared" si="29"/>
        <v>Bryan</v>
      </c>
      <c r="F715" s="1" t="str">
        <f t="shared" si="30"/>
        <v>77807</v>
      </c>
      <c r="G715" t="s">
        <v>9</v>
      </c>
    </row>
    <row r="716" spans="1:7" ht="15" customHeight="1">
      <c r="A716" s="1" t="str">
        <f>"6095"</f>
        <v>6095</v>
      </c>
      <c r="B716" s="1">
        <f>""</f>
      </c>
      <c r="C716" s="1" t="str">
        <f>"STORAGE AND RESEARCH LAB"</f>
        <v>STORAGE AND RESEARCH LAB</v>
      </c>
      <c r="D716" s="1" t="str">
        <f>"1234 Avenue A"</f>
        <v>1234 Avenue A</v>
      </c>
      <c r="E716" s="1" t="str">
        <f t="shared" si="29"/>
        <v>Bryan</v>
      </c>
      <c r="F716" s="1" t="str">
        <f t="shared" si="30"/>
        <v>77807</v>
      </c>
      <c r="G716" t="s">
        <v>9</v>
      </c>
    </row>
    <row r="717" spans="1:7" ht="15" customHeight="1">
      <c r="A717" s="1" t="str">
        <f>"6242"</f>
        <v>6242</v>
      </c>
      <c r="B717" s="1">
        <f>""</f>
      </c>
      <c r="C717" s="1" t="str">
        <f>"AQUACULTURE LAB"</f>
        <v>AQUACULTURE LAB</v>
      </c>
      <c r="D717" s="1" t="str">
        <f>"1058 Avenue C"</f>
        <v>1058 Avenue C</v>
      </c>
      <c r="E717" s="1" t="str">
        <f t="shared" si="29"/>
        <v>Bryan</v>
      </c>
      <c r="F717" s="1" t="str">
        <f t="shared" si="30"/>
        <v>77807</v>
      </c>
      <c r="G717" t="s">
        <v>9</v>
      </c>
    </row>
    <row r="718" spans="1:7" ht="15" customHeight="1">
      <c r="A718" s="1" t="str">
        <f>"6452"</f>
        <v>6452</v>
      </c>
      <c r="B718" s="1">
        <f>""</f>
      </c>
      <c r="C718" s="1" t="str">
        <f>"WATER SUPPLY BUILDING"</f>
        <v>WATER SUPPLY BUILDING</v>
      </c>
      <c r="D718" s="1">
        <f>""</f>
      </c>
      <c r="E718" s="1" t="str">
        <f t="shared" si="29"/>
        <v>Bryan</v>
      </c>
      <c r="F718" s="1" t="str">
        <f t="shared" si="30"/>
        <v>77807</v>
      </c>
      <c r="G718" t="s">
        <v>8</v>
      </c>
    </row>
    <row r="719" spans="1:7" ht="15" customHeight="1">
      <c r="A719" s="1" t="str">
        <f>"6502"</f>
        <v>6502</v>
      </c>
      <c r="B719" s="1">
        <f>""</f>
      </c>
      <c r="C719" s="1" t="str">
        <f>"ENERGY SYSTEMS LAB"</f>
        <v>ENERGY SYSTEMS LAB</v>
      </c>
      <c r="D719" s="1" t="str">
        <f>"1212 Avenue A"</f>
        <v>1212 Avenue A</v>
      </c>
      <c r="E719" s="1" t="str">
        <f t="shared" si="29"/>
        <v>Bryan</v>
      </c>
      <c r="F719" s="1" t="str">
        <f t="shared" si="30"/>
        <v>77807</v>
      </c>
      <c r="G719" t="s">
        <v>9</v>
      </c>
    </row>
    <row r="720" spans="1:7" ht="15" customHeight="1">
      <c r="A720" s="1" t="str">
        <f>"6775"</f>
        <v>6775</v>
      </c>
      <c r="B720" s="1">
        <f>""</f>
      </c>
      <c r="C720" s="1" t="str">
        <f>"Plasma Science/Pulsed Power Facility"</f>
        <v>Plasma Science/Pulsed Power Facility</v>
      </c>
      <c r="D720" s="1" t="str">
        <f>"1404 Second St."</f>
        <v>1404 Second St.</v>
      </c>
      <c r="E720" s="1" t="str">
        <f t="shared" si="29"/>
        <v>Bryan</v>
      </c>
      <c r="F720" s="1" t="str">
        <f t="shared" si="30"/>
        <v>77807</v>
      </c>
      <c r="G720" t="s">
        <v>9</v>
      </c>
    </row>
    <row r="721" spans="1:7" ht="15" customHeight="1">
      <c r="A721" s="1" t="str">
        <f>"6881"</f>
        <v>6881</v>
      </c>
      <c r="B721" s="1">
        <f>""</f>
      </c>
      <c r="C721" s="1" t="str">
        <f>"BATH HOUSE"</f>
        <v>BATH HOUSE</v>
      </c>
      <c r="D721" s="1" t="str">
        <f>"1695 Seventh St."</f>
        <v>1695 Seventh St.</v>
      </c>
      <c r="E721" s="1" t="str">
        <f t="shared" si="29"/>
        <v>Bryan</v>
      </c>
      <c r="F721" s="1" t="str">
        <f t="shared" si="30"/>
        <v>77807</v>
      </c>
      <c r="G721" t="s">
        <v>9</v>
      </c>
    </row>
    <row r="722" spans="1:7" ht="15" customHeight="1">
      <c r="A722" s="1" t="str">
        <f>"6882"</f>
        <v>6882</v>
      </c>
      <c r="B722" s="1">
        <f>""</f>
      </c>
      <c r="C722" s="1" t="str">
        <f>"REST ROOMS"</f>
        <v>REST ROOMS</v>
      </c>
      <c r="D722" s="1" t="str">
        <f>"1761 Seventh St."</f>
        <v>1761 Seventh St.</v>
      </c>
      <c r="E722" s="1" t="str">
        <f t="shared" si="29"/>
        <v>Bryan</v>
      </c>
      <c r="F722" s="1" t="str">
        <f t="shared" si="30"/>
        <v>77807</v>
      </c>
      <c r="G722" t="s">
        <v>9</v>
      </c>
    </row>
    <row r="723" spans="1:7" ht="15" customHeight="1">
      <c r="A723" s="1" t="str">
        <f>"7002"</f>
        <v>7002</v>
      </c>
      <c r="B723" s="1">
        <f>""</f>
      </c>
      <c r="C723" s="1" t="str">
        <f>"STORAGE BUILDING"</f>
        <v>STORAGE BUILDING</v>
      </c>
      <c r="D723" s="1" t="str">
        <f>"1362 Fifth St."</f>
        <v>1362 Fifth St.</v>
      </c>
      <c r="E723" s="1" t="str">
        <f t="shared" si="29"/>
        <v>Bryan</v>
      </c>
      <c r="F723" s="1" t="str">
        <f t="shared" si="30"/>
        <v>77807</v>
      </c>
      <c r="G723" t="s">
        <v>9</v>
      </c>
    </row>
    <row r="724" spans="1:7" ht="15" customHeight="1">
      <c r="A724" s="1" t="str">
        <f>"7003"</f>
        <v>7003</v>
      </c>
      <c r="B724" s="1">
        <f>""</f>
      </c>
      <c r="C724" s="1" t="str">
        <f>"OFFICE BLDG"</f>
        <v>OFFICE BLDG</v>
      </c>
      <c r="D724" s="1" t="str">
        <f>"1322 Fifth St."</f>
        <v>1322 Fifth St.</v>
      </c>
      <c r="E724" s="1" t="str">
        <f t="shared" si="29"/>
        <v>Bryan</v>
      </c>
      <c r="F724" s="1" t="str">
        <f t="shared" si="30"/>
        <v>77807</v>
      </c>
      <c r="G724" t="s">
        <v>9</v>
      </c>
    </row>
    <row r="725" spans="1:7" ht="15" customHeight="1">
      <c r="A725" s="1" t="str">
        <f>"7004"</f>
        <v>7004</v>
      </c>
      <c r="B725" s="1">
        <f>""</f>
      </c>
      <c r="C725" s="1" t="str">
        <f>"PreFabWood Frame Office Bldg. - Riverside Campus"</f>
        <v>PreFabWood Frame Office Bldg. - Riverside Campus</v>
      </c>
      <c r="D725" s="1" t="str">
        <f>"1555 Avenue D"</f>
        <v>1555 Avenue D</v>
      </c>
      <c r="E725" s="1" t="str">
        <f t="shared" si="29"/>
        <v>Bryan</v>
      </c>
      <c r="F725" s="1" t="str">
        <f t="shared" si="30"/>
        <v>77807</v>
      </c>
      <c r="G725" t="s">
        <v>9</v>
      </c>
    </row>
    <row r="726" spans="1:7" ht="15" customHeight="1">
      <c r="A726" s="1" t="str">
        <f>"7006"</f>
        <v>7006</v>
      </c>
      <c r="B726" s="1">
        <f>""</f>
      </c>
      <c r="C726" s="1" t="str">
        <f>"CHAPEL &amp; ASSEMBLY HALL"</f>
        <v>CHAPEL &amp; ASSEMBLY HALL</v>
      </c>
      <c r="D726" s="1" t="str">
        <f>"1555 Avenue D"</f>
        <v>1555 Avenue D</v>
      </c>
      <c r="E726" s="1" t="str">
        <f t="shared" si="29"/>
        <v>Bryan</v>
      </c>
      <c r="F726" s="1" t="str">
        <f t="shared" si="30"/>
        <v>77807</v>
      </c>
      <c r="G726" t="s">
        <v>9</v>
      </c>
    </row>
    <row r="727" spans="1:7" ht="15" customHeight="1">
      <c r="A727" s="1" t="str">
        <f>"7007"</f>
        <v>7007</v>
      </c>
      <c r="B727" s="1" t="str">
        <f>"RNCH"</f>
        <v>RNCH</v>
      </c>
      <c r="C727" s="1" t="str">
        <f>"ARCHITECTURE RANCH"</f>
        <v>ARCHITECTURE RANCH</v>
      </c>
      <c r="D727" s="1" t="str">
        <f>"1490 Avenue D"</f>
        <v>1490 Avenue D</v>
      </c>
      <c r="E727" s="1" t="str">
        <f t="shared" si="29"/>
        <v>Bryan</v>
      </c>
      <c r="F727" s="1" t="str">
        <f t="shared" si="30"/>
        <v>77807</v>
      </c>
      <c r="G727" t="s">
        <v>9</v>
      </c>
    </row>
    <row r="728" spans="1:7" ht="15" customHeight="1">
      <c r="A728" s="1" t="str">
        <f>"7030"</f>
        <v>7030</v>
      </c>
      <c r="B728" s="1">
        <f>""</f>
      </c>
      <c r="C728" s="1" t="str">
        <f>"TTI Erosion and Sediment Control Laboratory/Rainfa"</f>
        <v>TTI Erosion and Sediment Control Laboratory/Rainfa</v>
      </c>
      <c r="D728" s="1" t="str">
        <f>"1854 Flight Line Rd."</f>
        <v>1854 Flight Line Rd.</v>
      </c>
      <c r="E728" s="1" t="str">
        <f t="shared" si="29"/>
        <v>Bryan</v>
      </c>
      <c r="F728" s="1" t="str">
        <f t="shared" si="30"/>
        <v>77807</v>
      </c>
      <c r="G728" t="s">
        <v>9</v>
      </c>
    </row>
    <row r="729" spans="1:7" ht="15" customHeight="1">
      <c r="A729" s="1" t="str">
        <f>"7046"</f>
        <v>7046</v>
      </c>
      <c r="B729" s="1">
        <f>""</f>
      </c>
      <c r="C729" s="1" t="str">
        <f>"Aerospace HANGAR"</f>
        <v>Aerospace HANGAR</v>
      </c>
      <c r="D729" s="1" t="str">
        <f>"1645 Flight Line Rd."</f>
        <v>1645 Flight Line Rd.</v>
      </c>
      <c r="E729" s="1" t="str">
        <f t="shared" si="29"/>
        <v>Bryan</v>
      </c>
      <c r="F729" s="1" t="str">
        <f t="shared" si="30"/>
        <v>77807</v>
      </c>
      <c r="G729" t="s">
        <v>9</v>
      </c>
    </row>
    <row r="730" spans="1:7" ht="15" customHeight="1">
      <c r="A730" s="1" t="str">
        <f>"7056"</f>
        <v>7056</v>
      </c>
      <c r="B730" s="1">
        <f>""</f>
      </c>
      <c r="C730" s="1" t="str">
        <f>"ELEN STORAGE"</f>
        <v>ELEN STORAGE</v>
      </c>
      <c r="D730" s="1" t="str">
        <f>"1055 Seventh St."</f>
        <v>1055 Seventh St.</v>
      </c>
      <c r="E730" s="1" t="str">
        <f t="shared" si="29"/>
        <v>Bryan</v>
      </c>
      <c r="F730" s="1" t="str">
        <f t="shared" si="30"/>
        <v>77807</v>
      </c>
      <c r="G730" t="s">
        <v>9</v>
      </c>
    </row>
    <row r="731" spans="1:7" ht="15" customHeight="1">
      <c r="A731" s="1" t="str">
        <f>"7057"</f>
        <v>7057</v>
      </c>
      <c r="B731" s="1">
        <f>""</f>
      </c>
      <c r="C731" s="1" t="str">
        <f>"TEES RECORDS ARCHIVE"</f>
        <v>TEES RECORDS ARCHIVE</v>
      </c>
      <c r="D731" s="1" t="str">
        <f>"1067 Seventh St."</f>
        <v>1067 Seventh St.</v>
      </c>
      <c r="E731" s="1" t="str">
        <f t="shared" si="29"/>
        <v>Bryan</v>
      </c>
      <c r="F731" s="1" t="str">
        <f t="shared" si="30"/>
        <v>77807</v>
      </c>
      <c r="G731" t="s">
        <v>9</v>
      </c>
    </row>
    <row r="732" spans="1:7" ht="15" customHeight="1">
      <c r="A732" s="1" t="str">
        <f>"7061"</f>
        <v>7061</v>
      </c>
      <c r="B732" s="1">
        <f>""</f>
      </c>
      <c r="C732" s="1" t="str">
        <f>"TTI RESEARCH"</f>
        <v>TTI RESEARCH</v>
      </c>
      <c r="D732" s="1" t="str">
        <f>"1025 Sixth St."</f>
        <v>1025 Sixth St.</v>
      </c>
      <c r="E732" s="1" t="str">
        <f t="shared" si="29"/>
        <v>Bryan</v>
      </c>
      <c r="F732" s="1" t="str">
        <f t="shared" si="30"/>
        <v>77807</v>
      </c>
      <c r="G732" t="s">
        <v>9</v>
      </c>
    </row>
    <row r="733" spans="1:7" ht="15" customHeight="1">
      <c r="A733" s="1" t="str">
        <f>"7063"</f>
        <v>7063</v>
      </c>
      <c r="B733" s="1">
        <f>""</f>
      </c>
      <c r="C733" s="1" t="str">
        <f>"CONSERVATION RESEARCH LAB"</f>
        <v>CONSERVATION RESEARCH LAB</v>
      </c>
      <c r="D733" s="1" t="str">
        <f>"1525 Flight Line Rd."</f>
        <v>1525 Flight Line Rd.</v>
      </c>
      <c r="E733" s="1" t="str">
        <f t="shared" si="29"/>
        <v>Bryan</v>
      </c>
      <c r="F733" s="1" t="str">
        <f t="shared" si="30"/>
        <v>77807</v>
      </c>
      <c r="G733" t="s">
        <v>9</v>
      </c>
    </row>
    <row r="734" spans="1:7" ht="15" customHeight="1">
      <c r="A734" s="1" t="str">
        <f>"7064"</f>
        <v>7064</v>
      </c>
      <c r="B734" s="1">
        <f>""</f>
      </c>
      <c r="C734" s="1" t="str">
        <f>"CONSERVATION PROJECTS"</f>
        <v>CONSERVATION PROJECTS</v>
      </c>
      <c r="D734" s="1" t="str">
        <f>"1050 5th St."</f>
        <v>1050 5th St.</v>
      </c>
      <c r="E734" s="1" t="str">
        <f t="shared" si="29"/>
        <v>Bryan</v>
      </c>
      <c r="F734" s="1" t="str">
        <f t="shared" si="30"/>
        <v>77807</v>
      </c>
      <c r="G734" t="s">
        <v>9</v>
      </c>
    </row>
    <row r="735" spans="1:7" ht="15" customHeight="1">
      <c r="A735" s="1" t="str">
        <f>"7065"</f>
        <v>7065</v>
      </c>
      <c r="B735" s="1">
        <f>""</f>
      </c>
      <c r="C735" s="1" t="str">
        <f>"TRANSFORMER WAREHOUSE"</f>
        <v>TRANSFORMER WAREHOUSE</v>
      </c>
      <c r="D735" s="1" t="str">
        <f>"1035 Sixth St."</f>
        <v>1035 Sixth St.</v>
      </c>
      <c r="E735" s="1" t="str">
        <f t="shared" si="29"/>
        <v>Bryan</v>
      </c>
      <c r="F735" s="1" t="str">
        <f t="shared" si="30"/>
        <v>77807</v>
      </c>
      <c r="G735" t="s">
        <v>9</v>
      </c>
    </row>
    <row r="736" spans="1:7" ht="15" customHeight="1">
      <c r="A736" s="1" t="str">
        <f>"7066"</f>
        <v>7066</v>
      </c>
      <c r="B736" s="1">
        <f>""</f>
      </c>
      <c r="C736" s="1" t="str">
        <f>"TEEX - PS&amp;S DRIVING TRACK PAVILION"</f>
        <v>TEEX - PS&amp;S DRIVING TRACK PAVILION</v>
      </c>
      <c r="D736" s="1" t="str">
        <f>"1600 Flight Line Rd."</f>
        <v>1600 Flight Line Rd.</v>
      </c>
      <c r="E736" s="1" t="str">
        <f t="shared" si="29"/>
        <v>Bryan</v>
      </c>
      <c r="F736" s="1" t="str">
        <f t="shared" si="30"/>
        <v>77807</v>
      </c>
      <c r="G736" t="s">
        <v>9</v>
      </c>
    </row>
    <row r="737" spans="1:7" ht="15" customHeight="1">
      <c r="A737" s="1" t="str">
        <f>"7072"</f>
        <v>7072</v>
      </c>
      <c r="B737" s="1">
        <f>""</f>
      </c>
      <c r="C737" s="1" t="str">
        <f>"GOOD LAB PRACTICES"</f>
        <v>GOOD LAB PRACTICES</v>
      </c>
      <c r="D737" s="1" t="str">
        <f>"1466 Avenue A"</f>
        <v>1466 Avenue A</v>
      </c>
      <c r="E737" s="1" t="str">
        <f t="shared" si="29"/>
        <v>Bryan</v>
      </c>
      <c r="F737" s="1" t="str">
        <f t="shared" si="30"/>
        <v>77807</v>
      </c>
      <c r="G737" t="s">
        <v>9</v>
      </c>
    </row>
    <row r="738" spans="1:7" ht="15" customHeight="1">
      <c r="A738" s="1" t="str">
        <f>"7077"</f>
        <v>7077</v>
      </c>
      <c r="B738" s="1">
        <f>""</f>
      </c>
      <c r="C738" s="1" t="str">
        <f>"CONTROL TOWER"</f>
        <v>CONTROL TOWER</v>
      </c>
      <c r="D738" s="1" t="str">
        <f>"1633 Flight Line Rd."</f>
        <v>1633 Flight Line Rd.</v>
      </c>
      <c r="E738" s="1" t="str">
        <f t="shared" si="29"/>
        <v>Bryan</v>
      </c>
      <c r="F738" s="1" t="str">
        <f t="shared" si="30"/>
        <v>77807</v>
      </c>
      <c r="G738" t="s">
        <v>9</v>
      </c>
    </row>
    <row r="739" spans="1:7" ht="15" customHeight="1">
      <c r="A739" s="1" t="str">
        <f>"7078"</f>
        <v>7078</v>
      </c>
      <c r="B739" s="1">
        <f>""</f>
      </c>
      <c r="C739" s="1" t="str">
        <f>"FLIGHT LAB STORAGE"</f>
        <v>FLIGHT LAB STORAGE</v>
      </c>
      <c r="D739" s="1" t="str">
        <f>"1639 Flight Line Rd."</f>
        <v>1639 Flight Line Rd.</v>
      </c>
      <c r="E739" s="1" t="str">
        <f t="shared" si="29"/>
        <v>Bryan</v>
      </c>
      <c r="F739" s="1" t="str">
        <f t="shared" si="30"/>
        <v>77807</v>
      </c>
      <c r="G739" t="s">
        <v>9</v>
      </c>
    </row>
    <row r="740" spans="1:7" ht="15" customHeight="1">
      <c r="A740" s="1" t="str">
        <f>"7079"</f>
        <v>7079</v>
      </c>
      <c r="B740" s="1">
        <f>""</f>
      </c>
      <c r="C740" s="1" t="str">
        <f>"TURBO LAB STORAGE"</f>
        <v>TURBO LAB STORAGE</v>
      </c>
      <c r="D740" s="1" t="str">
        <f>"1070 Fourth St."</f>
        <v>1070 Fourth St.</v>
      </c>
      <c r="E740" s="1" t="str">
        <f t="shared" si="29"/>
        <v>Bryan</v>
      </c>
      <c r="F740" s="1" t="str">
        <f t="shared" si="30"/>
        <v>77807</v>
      </c>
      <c r="G740" t="s">
        <v>9</v>
      </c>
    </row>
    <row r="741" spans="1:7" ht="15" customHeight="1">
      <c r="A741" s="1" t="str">
        <f>"7080"</f>
        <v>7080</v>
      </c>
      <c r="B741" s="1">
        <f>""</f>
      </c>
      <c r="C741" s="1" t="str">
        <f>"BIOLOGY STORAGE"</f>
        <v>BIOLOGY STORAGE</v>
      </c>
      <c r="D741" s="1" t="str">
        <f>"1060 Fourth St."</f>
        <v>1060 Fourth St.</v>
      </c>
      <c r="E741" s="1" t="str">
        <f t="shared" si="29"/>
        <v>Bryan</v>
      </c>
      <c r="F741" s="1" t="str">
        <f t="shared" si="30"/>
        <v>77807</v>
      </c>
      <c r="G741" t="s">
        <v>9</v>
      </c>
    </row>
    <row r="742" spans="1:7" ht="15" customHeight="1">
      <c r="A742" s="1" t="str">
        <f>"7090"</f>
        <v>7090</v>
      </c>
      <c r="B742" s="1">
        <f>""</f>
      </c>
      <c r="C742" s="1" t="str">
        <f>"TTI SAFETY DIVISION HANGAR"</f>
        <v>TTI SAFETY DIVISION HANGAR</v>
      </c>
      <c r="D742" s="1" t="str">
        <f>"1252 Avenue A"</f>
        <v>1252 Avenue A</v>
      </c>
      <c r="E742" s="1" t="str">
        <f aca="true" t="shared" si="31" ref="E742:E767">"Bryan"</f>
        <v>Bryan</v>
      </c>
      <c r="F742" s="1" t="str">
        <f aca="true" t="shared" si="32" ref="F742:F767">"77807"</f>
        <v>77807</v>
      </c>
      <c r="G742" t="s">
        <v>9</v>
      </c>
    </row>
    <row r="743" spans="1:7" ht="15" customHeight="1">
      <c r="A743" s="1" t="str">
        <f>"7091"</f>
        <v>7091</v>
      </c>
      <c r="B743" s="1">
        <f>""</f>
      </c>
      <c r="C743" s="1" t="str">
        <f>"TTI HANGAR OFFICE BLDG"</f>
        <v>TTI HANGAR OFFICE BLDG</v>
      </c>
      <c r="D743" s="1" t="str">
        <f>"1254 Avenue A"</f>
        <v>1254 Avenue A</v>
      </c>
      <c r="E743" s="1" t="str">
        <f t="shared" si="31"/>
        <v>Bryan</v>
      </c>
      <c r="F743" s="1" t="str">
        <f t="shared" si="32"/>
        <v>77807</v>
      </c>
      <c r="G743" t="s">
        <v>9</v>
      </c>
    </row>
    <row r="744" spans="1:7" ht="15" customHeight="1">
      <c r="A744" s="1" t="str">
        <f>"7092"</f>
        <v>7092</v>
      </c>
      <c r="B744" s="1">
        <f>""</f>
      </c>
      <c r="C744" s="1" t="str">
        <f>"MECHANICAL TECH LAB"</f>
        <v>MECHANICAL TECH LAB</v>
      </c>
      <c r="D744" s="1" t="str">
        <f>"1250 Avenue A"</f>
        <v>1250 Avenue A</v>
      </c>
      <c r="E744" s="1" t="str">
        <f t="shared" si="31"/>
        <v>Bryan</v>
      </c>
      <c r="F744" s="1" t="str">
        <f t="shared" si="32"/>
        <v>77807</v>
      </c>
      <c r="G744" t="s">
        <v>9</v>
      </c>
    </row>
    <row r="745" spans="1:7" ht="15" customHeight="1">
      <c r="A745" s="1" t="str">
        <f>"7093"</f>
        <v>7093</v>
      </c>
      <c r="B745" s="1">
        <f>""</f>
      </c>
      <c r="C745" s="1" t="str">
        <f>"TTI MACHINING FACILITY"</f>
        <v>TTI MACHINING FACILITY</v>
      </c>
      <c r="D745" s="1" t="str">
        <f>"1288 Avenue A"</f>
        <v>1288 Avenue A</v>
      </c>
      <c r="E745" s="1" t="str">
        <f t="shared" si="31"/>
        <v>Bryan</v>
      </c>
      <c r="F745" s="1" t="str">
        <f t="shared" si="32"/>
        <v>77807</v>
      </c>
      <c r="G745" t="s">
        <v>9</v>
      </c>
    </row>
    <row r="746" spans="1:7" ht="15" customHeight="1">
      <c r="A746" s="1" t="str">
        <f>"7095"</f>
        <v>7095</v>
      </c>
      <c r="B746" s="1">
        <f>""</f>
      </c>
      <c r="C746" s="1" t="str">
        <f>"TTI Storage"</f>
        <v>TTI Storage</v>
      </c>
      <c r="D746" s="1" t="str">
        <f>"1371 Flight Line Rd."</f>
        <v>1371 Flight Line Rd.</v>
      </c>
      <c r="E746" s="1" t="str">
        <f t="shared" si="31"/>
        <v>Bryan</v>
      </c>
      <c r="F746" s="1" t="str">
        <f t="shared" si="32"/>
        <v>77807</v>
      </c>
      <c r="G746" t="s">
        <v>9</v>
      </c>
    </row>
    <row r="747" spans="1:7" ht="15" customHeight="1">
      <c r="A747" s="1" t="str">
        <f>"7098"</f>
        <v>7098</v>
      </c>
      <c r="B747" s="1">
        <f>""</f>
      </c>
      <c r="C747" s="1" t="str">
        <f>"WAREHOUSE"</f>
        <v>WAREHOUSE</v>
      </c>
      <c r="D747" s="1" t="str">
        <f>"1361 Flight Line Rd"</f>
        <v>1361 Flight Line Rd</v>
      </c>
      <c r="E747" s="1" t="str">
        <f t="shared" si="31"/>
        <v>Bryan</v>
      </c>
      <c r="F747" s="1" t="str">
        <f t="shared" si="32"/>
        <v>77807</v>
      </c>
      <c r="G747" t="s">
        <v>9</v>
      </c>
    </row>
    <row r="748" spans="1:7" ht="15" customHeight="1">
      <c r="A748" s="1" t="str">
        <f>"7176"</f>
        <v>7176</v>
      </c>
      <c r="B748" s="1">
        <f>""</f>
      </c>
      <c r="C748" s="1" t="str">
        <f>"PUBLICATIONS PRO. CENTER"</f>
        <v>PUBLICATIONS PRO. CENTER</v>
      </c>
      <c r="D748" s="1" t="str">
        <f>"1761 Avenue B"</f>
        <v>1761 Avenue B</v>
      </c>
      <c r="E748" s="1" t="str">
        <f t="shared" si="31"/>
        <v>Bryan</v>
      </c>
      <c r="F748" s="1" t="str">
        <f t="shared" si="32"/>
        <v>77807</v>
      </c>
      <c r="G748" t="s">
        <v>9</v>
      </c>
    </row>
    <row r="749" spans="1:7" ht="15" customHeight="1">
      <c r="A749" s="1" t="str">
        <f>"7177"</f>
        <v>7177</v>
      </c>
      <c r="B749" s="1">
        <f>""</f>
      </c>
      <c r="C749" s="1" t="str">
        <f>"NAUTICAL ARCHEOLOGY STORAGE"</f>
        <v>NAUTICAL ARCHEOLOGY STORAGE</v>
      </c>
      <c r="D749" s="1" t="str">
        <f>"1757 Avenue B"</f>
        <v>1757 Avenue B</v>
      </c>
      <c r="E749" s="1" t="str">
        <f t="shared" si="31"/>
        <v>Bryan</v>
      </c>
      <c r="F749" s="1" t="str">
        <f t="shared" si="32"/>
        <v>77807</v>
      </c>
      <c r="G749" t="s">
        <v>9</v>
      </c>
    </row>
    <row r="750" spans="1:7" ht="15" customHeight="1">
      <c r="A750" s="1" t="str">
        <f>"7178"</f>
        <v>7178</v>
      </c>
      <c r="B750" s="1">
        <f>""</f>
      </c>
      <c r="C750" s="1" t="str">
        <f>"TEEX STORAGE"</f>
        <v>TEEX STORAGE</v>
      </c>
      <c r="D750" s="1" t="str">
        <f>"1747 Avenue B"</f>
        <v>1747 Avenue B</v>
      </c>
      <c r="E750" s="1" t="str">
        <f t="shared" si="31"/>
        <v>Bryan</v>
      </c>
      <c r="F750" s="1" t="str">
        <f t="shared" si="32"/>
        <v>77807</v>
      </c>
      <c r="G750" t="s">
        <v>9</v>
      </c>
    </row>
    <row r="751" spans="1:7" ht="15" customHeight="1">
      <c r="A751" s="1" t="str">
        <f>"7180"</f>
        <v>7180</v>
      </c>
      <c r="B751" s="1">
        <f>""</f>
      </c>
      <c r="C751" s="1" t="str">
        <f>"PROCESSING LAB"</f>
        <v>PROCESSING LAB</v>
      </c>
      <c r="D751" s="1" t="str">
        <f>"1366 Seventh St."</f>
        <v>1366 Seventh St.</v>
      </c>
      <c r="E751" s="1" t="str">
        <f t="shared" si="31"/>
        <v>Bryan</v>
      </c>
      <c r="F751" s="1" t="str">
        <f t="shared" si="32"/>
        <v>77807</v>
      </c>
      <c r="G751" t="s">
        <v>9</v>
      </c>
    </row>
    <row r="752" spans="1:7" ht="15" customHeight="1">
      <c r="A752" s="1" t="str">
        <f>"7181"</f>
        <v>7181</v>
      </c>
      <c r="B752" s="1">
        <f>""</f>
      </c>
      <c r="C752" s="1" t="str">
        <f>"SOLVENT EXTRACTION BUILDING"</f>
        <v>SOLVENT EXTRACTION BUILDING</v>
      </c>
      <c r="D752" s="1" t="str">
        <f>"1372 Seventh St."</f>
        <v>1372 Seventh St.</v>
      </c>
      <c r="E752" s="1" t="str">
        <f t="shared" si="31"/>
        <v>Bryan</v>
      </c>
      <c r="F752" s="1" t="str">
        <f t="shared" si="32"/>
        <v>77807</v>
      </c>
      <c r="G752" t="s">
        <v>9</v>
      </c>
    </row>
    <row r="753" spans="1:7" ht="15" customHeight="1">
      <c r="A753" s="1" t="str">
        <f>"7182"</f>
        <v>7182</v>
      </c>
      <c r="B753" s="1">
        <f>""</f>
      </c>
      <c r="C753" s="1" t="str">
        <f>"GUAYULE EXTRACTION BUILDING"</f>
        <v>GUAYULE EXTRACTION BUILDING</v>
      </c>
      <c r="D753" s="1" t="str">
        <f>"1376 Seventh St."</f>
        <v>1376 Seventh St.</v>
      </c>
      <c r="E753" s="1" t="str">
        <f t="shared" si="31"/>
        <v>Bryan</v>
      </c>
      <c r="F753" s="1" t="str">
        <f t="shared" si="32"/>
        <v>77807</v>
      </c>
      <c r="G753" t="s">
        <v>9</v>
      </c>
    </row>
    <row r="754" spans="1:7" ht="15" customHeight="1">
      <c r="A754" s="1" t="str">
        <f>"7183"</f>
        <v>7183</v>
      </c>
      <c r="B754" s="1">
        <f>""</f>
      </c>
      <c r="C754" s="1" t="str">
        <f>"REFINERY"</f>
        <v>REFINERY</v>
      </c>
      <c r="D754" s="1" t="str">
        <f>"1384 Seventh St."</f>
        <v>1384 Seventh St.</v>
      </c>
      <c r="E754" s="1" t="str">
        <f t="shared" si="31"/>
        <v>Bryan</v>
      </c>
      <c r="F754" s="1" t="str">
        <f t="shared" si="32"/>
        <v>77807</v>
      </c>
      <c r="G754" t="s">
        <v>9</v>
      </c>
    </row>
    <row r="755" spans="1:7" ht="15" customHeight="1">
      <c r="A755" s="1" t="str">
        <f>"7184"</f>
        <v>7184</v>
      </c>
      <c r="B755" s="1">
        <f>""</f>
      </c>
      <c r="C755" s="1" t="str">
        <f>"FATS &amp; OILS PROCESSING BLDG"</f>
        <v>FATS &amp; OILS PROCESSING BLDG</v>
      </c>
      <c r="D755" s="1" t="str">
        <f>"1370 Seventh St."</f>
        <v>1370 Seventh St.</v>
      </c>
      <c r="E755" s="1" t="str">
        <f t="shared" si="31"/>
        <v>Bryan</v>
      </c>
      <c r="F755" s="1" t="str">
        <f t="shared" si="32"/>
        <v>77807</v>
      </c>
      <c r="G755" t="s">
        <v>9</v>
      </c>
    </row>
    <row r="756" spans="1:7" ht="15" customHeight="1">
      <c r="A756" s="1" t="str">
        <f>"7240"</f>
        <v>7240</v>
      </c>
      <c r="B756" s="1">
        <f>""</f>
      </c>
      <c r="C756" s="1" t="str">
        <f>"TEEX COPY CENTER"</f>
        <v>TEEX COPY CENTER</v>
      </c>
      <c r="D756" s="1" t="str">
        <f>"1262 Sixth St."</f>
        <v>1262 Sixth St.</v>
      </c>
      <c r="E756" s="1" t="str">
        <f t="shared" si="31"/>
        <v>Bryan</v>
      </c>
      <c r="F756" s="1" t="str">
        <f t="shared" si="32"/>
        <v>77807</v>
      </c>
      <c r="G756" t="s">
        <v>9</v>
      </c>
    </row>
    <row r="757" spans="1:7" ht="15" customHeight="1">
      <c r="A757" s="1" t="str">
        <f>"7439"</f>
        <v>7439</v>
      </c>
      <c r="B757" s="1">
        <f>""</f>
      </c>
      <c r="C757" s="1" t="str">
        <f>"TELECOMMUNICATIONS OPTICAL REMOTE BUILDING"</f>
        <v>TELECOMMUNICATIONS OPTICAL REMOTE BUILDING</v>
      </c>
      <c r="D757" s="1" t="str">
        <f>"1220 Second St."</f>
        <v>1220 Second St.</v>
      </c>
      <c r="E757" s="1" t="str">
        <f t="shared" si="31"/>
        <v>Bryan</v>
      </c>
      <c r="F757" s="1" t="str">
        <f t="shared" si="32"/>
        <v>77807</v>
      </c>
      <c r="G757" t="s">
        <v>9</v>
      </c>
    </row>
    <row r="758" spans="1:7" ht="15" customHeight="1">
      <c r="A758" s="1" t="str">
        <f>"7441"</f>
        <v>7441</v>
      </c>
      <c r="B758" s="1">
        <f>""</f>
      </c>
      <c r="C758" s="1" t="str">
        <f>"RIVERSIDE WATER DISTRIBUTION PUMP STATION"</f>
        <v>RIVERSIDE WATER DISTRIBUTION PUMP STATION</v>
      </c>
      <c r="D758" s="1" t="str">
        <f>"1250 Avenue C"</f>
        <v>1250 Avenue C</v>
      </c>
      <c r="E758" s="1" t="str">
        <f t="shared" si="31"/>
        <v>Bryan</v>
      </c>
      <c r="F758" s="1" t="str">
        <f t="shared" si="32"/>
        <v>77807</v>
      </c>
      <c r="G758" t="s">
        <v>9</v>
      </c>
    </row>
    <row r="759" spans="1:7" ht="15" customHeight="1">
      <c r="A759" s="1" t="str">
        <f>"7500"</f>
        <v>7500</v>
      </c>
      <c r="B759" s="1">
        <f>""</f>
      </c>
      <c r="C759" s="1" t="str">
        <f>"TTI PENDULUM TEST FACILITY"</f>
        <v>TTI PENDULUM TEST FACILITY</v>
      </c>
      <c r="D759" s="1" t="str">
        <f>"1231 Flight Line Rd."</f>
        <v>1231 Flight Line Rd.</v>
      </c>
      <c r="E759" s="1" t="str">
        <f t="shared" si="31"/>
        <v>Bryan</v>
      </c>
      <c r="F759" s="1" t="str">
        <f t="shared" si="32"/>
        <v>77807</v>
      </c>
      <c r="G759" t="s">
        <v>9</v>
      </c>
    </row>
    <row r="760" spans="1:7" ht="15" customHeight="1">
      <c r="A760" s="1" t="str">
        <f>"7535"</f>
        <v>7535</v>
      </c>
      <c r="B760" s="1">
        <f>""</f>
      </c>
      <c r="C760" s="1" t="str">
        <f>"AM VI OFFICE AND SHOPS"</f>
        <v>AM VI OFFICE AND SHOPS</v>
      </c>
      <c r="D760" s="1" t="str">
        <f>"1202 Warehouse Rd."</f>
        <v>1202 Warehouse Rd.</v>
      </c>
      <c r="E760" s="1" t="str">
        <f t="shared" si="31"/>
        <v>Bryan</v>
      </c>
      <c r="F760" s="1" t="str">
        <f t="shared" si="32"/>
        <v>77807</v>
      </c>
      <c r="G760" t="s">
        <v>9</v>
      </c>
    </row>
    <row r="761" spans="1:7" ht="15" customHeight="1">
      <c r="A761" s="1" t="str">
        <f>"7751"</f>
        <v>7751</v>
      </c>
      <c r="B761" s="1">
        <f>""</f>
      </c>
      <c r="C761" s="1" t="str">
        <f>"TEEX - PS&amp;S OFFICE BLDG"</f>
        <v>TEEX - PS&amp;S OFFICE BLDG</v>
      </c>
      <c r="D761" s="1" t="str">
        <f>"1500 Fourth St."</f>
        <v>1500 Fourth St.</v>
      </c>
      <c r="E761" s="1" t="str">
        <f t="shared" si="31"/>
        <v>Bryan</v>
      </c>
      <c r="F761" s="1" t="str">
        <f t="shared" si="32"/>
        <v>77807</v>
      </c>
      <c r="G761" t="s">
        <v>9</v>
      </c>
    </row>
    <row r="762" spans="1:7" ht="15" customHeight="1">
      <c r="A762" s="1" t="str">
        <f>"7800"</f>
        <v>7800</v>
      </c>
      <c r="B762" s="1">
        <f>""</f>
      </c>
      <c r="C762" s="1" t="str">
        <f>"TEES SMOKE DETECTOR RESEARCH"</f>
        <v>TEES SMOKE DETECTOR RESEARCH</v>
      </c>
      <c r="D762" s="1" t="str">
        <f>"1675 Bryan Rd."</f>
        <v>1675 Bryan Rd.</v>
      </c>
      <c r="E762" s="1" t="str">
        <f t="shared" si="31"/>
        <v>Bryan</v>
      </c>
      <c r="F762" s="1" t="str">
        <f t="shared" si="32"/>
        <v>77807</v>
      </c>
      <c r="G762" t="s">
        <v>9</v>
      </c>
    </row>
    <row r="763" spans="1:7" ht="15" customHeight="1">
      <c r="A763" s="1" t="str">
        <f>"7801"</f>
        <v>7801</v>
      </c>
      <c r="B763" s="1">
        <f>""</f>
      </c>
      <c r="C763" s="1" t="str">
        <f>"TEEX - PS&amp;S PROP HOUSE #1"</f>
        <v>TEEX - PS&amp;S PROP HOUSE #1</v>
      </c>
      <c r="D763" s="1" t="str">
        <f>"1651 Bryan Rd."</f>
        <v>1651 Bryan Rd.</v>
      </c>
      <c r="E763" s="1" t="str">
        <f t="shared" si="31"/>
        <v>Bryan</v>
      </c>
      <c r="F763" s="1" t="str">
        <f t="shared" si="32"/>
        <v>77807</v>
      </c>
      <c r="G763" t="s">
        <v>9</v>
      </c>
    </row>
    <row r="764" spans="1:7" ht="15" customHeight="1">
      <c r="A764" s="1" t="str">
        <f>"7802"</f>
        <v>7802</v>
      </c>
      <c r="B764" s="1">
        <f>""</f>
      </c>
      <c r="C764" s="1" t="str">
        <f>"TEEX - PS&amp;S PROP HOUSE #2"</f>
        <v>TEEX - PS&amp;S PROP HOUSE #2</v>
      </c>
      <c r="D764" s="1" t="str">
        <f>"1627 Bryan Rd."</f>
        <v>1627 Bryan Rd.</v>
      </c>
      <c r="E764" s="1" t="str">
        <f t="shared" si="31"/>
        <v>Bryan</v>
      </c>
      <c r="F764" s="1" t="str">
        <f t="shared" si="32"/>
        <v>77807</v>
      </c>
      <c r="G764" t="s">
        <v>9</v>
      </c>
    </row>
    <row r="765" spans="1:7" ht="15" customHeight="1">
      <c r="A765" s="1" t="str">
        <f>"7900"</f>
        <v>7900</v>
      </c>
      <c r="B765" s="1">
        <f>""</f>
      </c>
      <c r="C765" s="1" t="str">
        <f>"TEEX ITSI OFFICES"</f>
        <v>TEEX ITSI OFFICES</v>
      </c>
      <c r="D765" s="1" t="str">
        <f>"1365 Stirling Dr."</f>
        <v>1365 Stirling Dr.</v>
      </c>
      <c r="E765" s="1" t="str">
        <f t="shared" si="31"/>
        <v>Bryan</v>
      </c>
      <c r="F765" s="1" t="str">
        <f t="shared" si="32"/>
        <v>77807</v>
      </c>
      <c r="G765" t="s">
        <v>9</v>
      </c>
    </row>
    <row r="766" spans="1:7" ht="15" customHeight="1">
      <c r="A766" s="1" t="str">
        <f>"7901"</f>
        <v>7901</v>
      </c>
      <c r="B766" s="1">
        <f>""</f>
      </c>
      <c r="C766" s="1" t="str">
        <f>"TEEX - ITSI"</f>
        <v>TEEX - ITSI</v>
      </c>
      <c r="D766" s="1" t="str">
        <f>"1245 Stirling Dr."</f>
        <v>1245 Stirling Dr.</v>
      </c>
      <c r="E766" s="1" t="str">
        <f t="shared" si="31"/>
        <v>Bryan</v>
      </c>
      <c r="F766" s="1" t="str">
        <f t="shared" si="32"/>
        <v>77807</v>
      </c>
      <c r="G766" t="s">
        <v>9</v>
      </c>
    </row>
    <row r="767" spans="1:7" ht="15" customHeight="1">
      <c r="A767" s="1" t="str">
        <f>"7903"</f>
        <v>7903</v>
      </c>
      <c r="B767" s="1">
        <f>""</f>
      </c>
      <c r="C767" s="1" t="str">
        <f>"TEEX COVERED TRAINING AREA"</f>
        <v>TEEX COVERED TRAINING AREA</v>
      </c>
      <c r="D767" s="1">
        <f>""</f>
      </c>
      <c r="E767" s="1" t="str">
        <f t="shared" si="31"/>
        <v>Bryan</v>
      </c>
      <c r="F767" s="1" t="str">
        <f t="shared" si="32"/>
        <v>77807</v>
      </c>
      <c r="G767" t="s">
        <v>8</v>
      </c>
    </row>
    <row r="768" spans="1:7" ht="15" customHeight="1">
      <c r="A768" s="1" t="str">
        <f>"7904"</f>
        <v>7904</v>
      </c>
      <c r="B768" s="1">
        <f>""</f>
      </c>
      <c r="C768" s="1" t="str">
        <f>"ESTI HAZ MAT CLASSROOM"</f>
        <v>ESTI HAZ MAT CLASSROOM</v>
      </c>
      <c r="D768" s="1">
        <f>""</f>
      </c>
      <c r="E768" s="1" t="str">
        <f>"College Station"</f>
        <v>College Station</v>
      </c>
      <c r="F768" s="1" t="str">
        <f>"77843"</f>
        <v>77843</v>
      </c>
      <c r="G768" t="s">
        <v>8</v>
      </c>
    </row>
    <row r="769" spans="1:7" ht="15" customHeight="1">
      <c r="A769" s="1" t="str">
        <f>"7905"</f>
        <v>7905</v>
      </c>
      <c r="B769" s="1">
        <f>""</f>
      </c>
      <c r="C769" s="1" t="str">
        <f>"ESTI HAZ MAT WAREHOUSE"</f>
        <v>ESTI HAZ MAT WAREHOUSE</v>
      </c>
      <c r="D769" s="1">
        <f>""</f>
      </c>
      <c r="E769" s="1" t="str">
        <f>"College Station"</f>
        <v>College Station</v>
      </c>
      <c r="F769" s="1" t="str">
        <f>"77843"</f>
        <v>77843</v>
      </c>
      <c r="G769" t="s">
        <v>8</v>
      </c>
    </row>
    <row r="770" spans="1:7" ht="15" customHeight="1">
      <c r="A770" s="1" t="str">
        <f>"7906"</f>
        <v>7906</v>
      </c>
      <c r="B770" s="1">
        <f>""</f>
      </c>
      <c r="C770" s="1" t="str">
        <f>"TEEX ITSI SHOP"</f>
        <v>TEEX ITSI SHOP</v>
      </c>
      <c r="D770" s="1" t="str">
        <f>"1249 Stirling Dr."</f>
        <v>1249 Stirling Dr.</v>
      </c>
      <c r="E770" s="1" t="str">
        <f>"Bryan"</f>
        <v>Bryan</v>
      </c>
      <c r="F770" s="1" t="str">
        <f>"77807"</f>
        <v>77807</v>
      </c>
      <c r="G770" t="s">
        <v>9</v>
      </c>
    </row>
    <row r="771" spans="1:7" ht="15" customHeight="1">
      <c r="A771" s="1" t="str">
        <f>"7907"</f>
        <v>7907</v>
      </c>
      <c r="B771" s="1">
        <f>""</f>
      </c>
      <c r="C771" s="1" t="str">
        <f>"ESTI HAZ MAT TECHNICIAN SHOP"</f>
        <v>ESTI HAZ MAT TECHNICIAN SHOP</v>
      </c>
      <c r="D771" s="1" t="str">
        <f>"1251 Stirling Dr."</f>
        <v>1251 Stirling Dr.</v>
      </c>
      <c r="E771" s="1" t="str">
        <f>"College Station"</f>
        <v>College Station</v>
      </c>
      <c r="F771" s="1" t="str">
        <f>"77843"</f>
        <v>77843</v>
      </c>
      <c r="G771" t="s">
        <v>9</v>
      </c>
    </row>
    <row r="772" spans="1:7" ht="15" customHeight="1">
      <c r="A772" s="1" t="str">
        <f>"7908"</f>
        <v>7908</v>
      </c>
      <c r="B772" s="1">
        <f>""</f>
      </c>
      <c r="C772" s="1" t="str">
        <f>"TEEX EUPWTI BUILDING"</f>
        <v>TEEX EUPWTI BUILDING</v>
      </c>
      <c r="D772" s="1" t="str">
        <f>"1250 Project Dr. "</f>
        <v>1250 Project Dr. </v>
      </c>
      <c r="E772" s="1" t="str">
        <f>"Bryan"</f>
        <v>Bryan</v>
      </c>
      <c r="F772" s="1" t="str">
        <f>"77807"</f>
        <v>77807</v>
      </c>
      <c r="G772" t="s">
        <v>9</v>
      </c>
    </row>
    <row r="773" spans="1:7" ht="15" customHeight="1">
      <c r="A773" s="1" t="str">
        <f>"7909"</f>
        <v>7909</v>
      </c>
      <c r="B773" s="1">
        <f>""</f>
      </c>
      <c r="C773" s="1" t="str">
        <f>"TEEX EUPWTI BUILDIING"</f>
        <v>TEEX EUPWTI BUILDIING</v>
      </c>
      <c r="D773" s="1" t="str">
        <f>"1829 Mayer Av."</f>
        <v>1829 Mayer Av.</v>
      </c>
      <c r="E773" s="1" t="str">
        <f>"Bryan"</f>
        <v>Bryan</v>
      </c>
      <c r="F773" s="1" t="str">
        <f>"77807"</f>
        <v>77807</v>
      </c>
      <c r="G773" t="s">
        <v>9</v>
      </c>
    </row>
    <row r="774" spans="1:7" ht="15" customHeight="1">
      <c r="A774" s="1" t="str">
        <f>"7910"</f>
        <v>7910</v>
      </c>
      <c r="B774" s="1">
        <f>""</f>
      </c>
      <c r="C774" s="1" t="str">
        <f>"ESTI HAZ MAT STORAGE"</f>
        <v>ESTI HAZ MAT STORAGE</v>
      </c>
      <c r="D774" s="1">
        <f>""</f>
      </c>
      <c r="E774" s="1" t="str">
        <f>"College Station"</f>
        <v>College Station</v>
      </c>
      <c r="F774" s="1" t="str">
        <f>"77843"</f>
        <v>77843</v>
      </c>
      <c r="G774" t="s">
        <v>8</v>
      </c>
    </row>
    <row r="775" spans="1:7" ht="15" customHeight="1">
      <c r="A775" s="1" t="str">
        <f>"7911"</f>
        <v>7911</v>
      </c>
      <c r="B775" s="1">
        <f>""</f>
      </c>
      <c r="C775" s="1" t="str">
        <f>"TEEX EUPWTI PARKING"</f>
        <v>TEEX EUPWTI PARKING</v>
      </c>
      <c r="D775" s="1" t="str">
        <f>"1808 Avenue B"</f>
        <v>1808 Avenue B</v>
      </c>
      <c r="E775" s="1" t="str">
        <f aca="true" t="shared" si="33" ref="E775:E810">"Bryan"</f>
        <v>Bryan</v>
      </c>
      <c r="F775" s="1" t="str">
        <f aca="true" t="shared" si="34" ref="F775:F810">"77807"</f>
        <v>77807</v>
      </c>
      <c r="G775" t="s">
        <v>9</v>
      </c>
    </row>
    <row r="776" spans="1:7" ht="15" customHeight="1">
      <c r="A776" s="1" t="str">
        <f>"7922"</f>
        <v>7922</v>
      </c>
      <c r="B776" s="1">
        <f>""</f>
      </c>
      <c r="C776" s="1" t="str">
        <f>"REST ROOMS"</f>
        <v>REST ROOMS</v>
      </c>
      <c r="D776" s="1">
        <f>""</f>
      </c>
      <c r="E776" s="1" t="str">
        <f t="shared" si="33"/>
        <v>Bryan</v>
      </c>
      <c r="F776" s="1" t="str">
        <f t="shared" si="34"/>
        <v>77807</v>
      </c>
      <c r="G776" t="s">
        <v>8</v>
      </c>
    </row>
    <row r="777" spans="1:7" ht="15" customHeight="1">
      <c r="A777" s="1" t="str">
        <f>"8000"</f>
        <v>8000</v>
      </c>
      <c r="B777" s="1">
        <f>""</f>
      </c>
      <c r="C777" s="1" t="str">
        <f>"TEEX ITSI GARAGE &amp; OFFICES"</f>
        <v>TEEX ITSI GARAGE &amp; OFFICES</v>
      </c>
      <c r="D777" s="1" t="str">
        <f>"1450 Seventh St."</f>
        <v>1450 Seventh St.</v>
      </c>
      <c r="E777" s="1" t="str">
        <f t="shared" si="33"/>
        <v>Bryan</v>
      </c>
      <c r="F777" s="1" t="str">
        <f t="shared" si="34"/>
        <v>77807</v>
      </c>
      <c r="G777" t="s">
        <v>9</v>
      </c>
    </row>
    <row r="778" spans="1:7" ht="15" customHeight="1">
      <c r="A778" s="1" t="str">
        <f>"8004"</f>
        <v>8004</v>
      </c>
      <c r="B778" s="1">
        <f>""</f>
      </c>
      <c r="C778" s="1" t="str">
        <f>"TEEX ITSI OFFICES - WATER LAB"</f>
        <v>TEEX ITSI OFFICES - WATER LAB</v>
      </c>
      <c r="D778" s="1" t="str">
        <f>"1455 Fourth St."</f>
        <v>1455 Fourth St.</v>
      </c>
      <c r="E778" s="1" t="str">
        <f t="shared" si="33"/>
        <v>Bryan</v>
      </c>
      <c r="F778" s="1" t="str">
        <f t="shared" si="34"/>
        <v>77807</v>
      </c>
      <c r="G778" t="s">
        <v>9</v>
      </c>
    </row>
    <row r="779" spans="1:7" ht="15" customHeight="1">
      <c r="A779" s="1" t="str">
        <f>"8007"</f>
        <v>8007</v>
      </c>
      <c r="B779" s="1">
        <f>""</f>
      </c>
      <c r="C779" s="1" t="str">
        <f>"Administrative BLDG"</f>
        <v>Administrative BLDG</v>
      </c>
      <c r="D779" s="1" t="str">
        <f>"1550 Bryan Rd."</f>
        <v>1550 Bryan Rd.</v>
      </c>
      <c r="E779" s="1" t="str">
        <f t="shared" si="33"/>
        <v>Bryan</v>
      </c>
      <c r="F779" s="1" t="str">
        <f t="shared" si="34"/>
        <v>77807</v>
      </c>
      <c r="G779" t="s">
        <v>9</v>
      </c>
    </row>
    <row r="780" spans="1:7" ht="15" customHeight="1">
      <c r="A780" s="1" t="str">
        <f>"8031"</f>
        <v>8031</v>
      </c>
      <c r="B780" s="1">
        <f>""</f>
      </c>
      <c r="C780" s="1" t="str">
        <f>"IODP/OCEANOGRAPHY BLDG"</f>
        <v>IODP/OCEANOGRAPHY BLDG</v>
      </c>
      <c r="D780" s="1" t="str">
        <f>"1727 Flight Line Rd."</f>
        <v>1727 Flight Line Rd.</v>
      </c>
      <c r="E780" s="1" t="str">
        <f t="shared" si="33"/>
        <v>Bryan</v>
      </c>
      <c r="F780" s="1" t="str">
        <f t="shared" si="34"/>
        <v>77807</v>
      </c>
      <c r="G780" t="s">
        <v>9</v>
      </c>
    </row>
    <row r="781" spans="1:7" ht="15" customHeight="1">
      <c r="A781" s="1" t="str">
        <f>"8032"</f>
        <v>8032</v>
      </c>
      <c r="B781" s="1">
        <f>""</f>
      </c>
      <c r="C781" s="1" t="str">
        <f>"OCEAN DRILLING TEST FACILITY"</f>
        <v>OCEAN DRILLING TEST FACILITY</v>
      </c>
      <c r="D781" s="1" t="str">
        <f>"1725 Flight Line Rd."</f>
        <v>1725 Flight Line Rd.</v>
      </c>
      <c r="E781" s="1" t="str">
        <f t="shared" si="33"/>
        <v>Bryan</v>
      </c>
      <c r="F781" s="1" t="str">
        <f t="shared" si="34"/>
        <v>77807</v>
      </c>
      <c r="G781" t="s">
        <v>9</v>
      </c>
    </row>
    <row r="782" spans="1:7" ht="15" customHeight="1">
      <c r="A782" s="1" t="str">
        <f>"8081"</f>
        <v>8081</v>
      </c>
      <c r="B782" s="1">
        <f>""</f>
      </c>
      <c r="C782" s="1" t="str">
        <f>"TEEX - ITSI TECH BLDG"</f>
        <v>TEEX - ITSI TECH BLDG</v>
      </c>
      <c r="D782" s="1" t="str">
        <f>"1484 Avenue A"</f>
        <v>1484 Avenue A</v>
      </c>
      <c r="E782" s="1" t="str">
        <f t="shared" si="33"/>
        <v>Bryan</v>
      </c>
      <c r="F782" s="1" t="str">
        <f t="shared" si="34"/>
        <v>77807</v>
      </c>
      <c r="G782" t="s">
        <v>9</v>
      </c>
    </row>
    <row r="783" spans="1:7" ht="15" customHeight="1">
      <c r="A783" s="1" t="str">
        <f>"8083"</f>
        <v>8083</v>
      </c>
      <c r="B783" s="1">
        <f>""</f>
      </c>
      <c r="C783" s="1" t="str">
        <f>"TELECOMMUNICATIONS BUILDING"</f>
        <v>TELECOMMUNICATIONS BUILDING</v>
      </c>
      <c r="D783" s="1" t="str">
        <f>"1472 Avenue A"</f>
        <v>1472 Avenue A</v>
      </c>
      <c r="E783" s="1" t="str">
        <f t="shared" si="33"/>
        <v>Bryan</v>
      </c>
      <c r="F783" s="1" t="str">
        <f t="shared" si="34"/>
        <v>77807</v>
      </c>
      <c r="G783" t="s">
        <v>9</v>
      </c>
    </row>
    <row r="784" spans="1:7" ht="15" customHeight="1">
      <c r="A784" s="1" t="str">
        <f>"8175"</f>
        <v>8175</v>
      </c>
      <c r="B784" s="1">
        <f>""</f>
      </c>
      <c r="C784" s="1" t="str">
        <f>"TEEX WAREHOUSE"</f>
        <v>TEEX WAREHOUSE</v>
      </c>
      <c r="D784" s="1" t="str">
        <f>"1769 Avenue C"</f>
        <v>1769 Avenue C</v>
      </c>
      <c r="E784" s="1" t="str">
        <f t="shared" si="33"/>
        <v>Bryan</v>
      </c>
      <c r="F784" s="1" t="str">
        <f t="shared" si="34"/>
        <v>77807</v>
      </c>
      <c r="G784" t="s">
        <v>9</v>
      </c>
    </row>
    <row r="785" spans="1:7" ht="15" customHeight="1">
      <c r="A785" s="1" t="str">
        <f>"8236"</f>
        <v>8236</v>
      </c>
      <c r="B785" s="1">
        <f>""</f>
      </c>
      <c r="C785" s="1" t="str">
        <f>"INSTRUCTIONAL MATERIALS SERV"</f>
        <v>INSTRUCTIONAL MATERIALS SERV</v>
      </c>
      <c r="D785" s="1" t="str">
        <f>"1686 Avenue C"</f>
        <v>1686 Avenue C</v>
      </c>
      <c r="E785" s="1" t="str">
        <f t="shared" si="33"/>
        <v>Bryan</v>
      </c>
      <c r="F785" s="1" t="str">
        <f t="shared" si="34"/>
        <v>77807</v>
      </c>
      <c r="G785" t="s">
        <v>9</v>
      </c>
    </row>
    <row r="786" spans="1:7" ht="15" customHeight="1">
      <c r="A786" s="1" t="str">
        <f>"8473"</f>
        <v>8473</v>
      </c>
      <c r="B786" s="1">
        <f>""</f>
      </c>
      <c r="C786" s="1" t="str">
        <f>"TCE PROGRAM SUPPORT BLDG 1"</f>
        <v>TCE PROGRAM SUPPORT BLDG 1</v>
      </c>
      <c r="D786" s="1" t="str">
        <f>"1275 Avenue C"</f>
        <v>1275 Avenue C</v>
      </c>
      <c r="E786" s="1" t="str">
        <f t="shared" si="33"/>
        <v>Bryan</v>
      </c>
      <c r="F786" s="1" t="str">
        <f t="shared" si="34"/>
        <v>77807</v>
      </c>
      <c r="G786" t="s">
        <v>9</v>
      </c>
    </row>
    <row r="787" spans="1:7" ht="15" customHeight="1">
      <c r="A787" s="1" t="str">
        <f>"8476"</f>
        <v>8476</v>
      </c>
      <c r="B787" s="1">
        <f>""</f>
      </c>
      <c r="C787" s="1" t="str">
        <f>"TEEX CLASSROOM NO 4"</f>
        <v>TEEX CLASSROOM NO 4</v>
      </c>
      <c r="D787" s="1" t="str">
        <f>"1245 Avenue C"</f>
        <v>1245 Avenue C</v>
      </c>
      <c r="E787" s="1" t="str">
        <f t="shared" si="33"/>
        <v>Bryan</v>
      </c>
      <c r="F787" s="1" t="str">
        <f t="shared" si="34"/>
        <v>77807</v>
      </c>
      <c r="G787" t="s">
        <v>9</v>
      </c>
    </row>
    <row r="788" spans="1:7" ht="15" customHeight="1">
      <c r="A788" s="1" t="str">
        <f>"8483"</f>
        <v>8483</v>
      </c>
      <c r="B788" s="1">
        <f>""</f>
      </c>
      <c r="C788" s="1" t="str">
        <f>"ARCHAEOLOGICAL PROJECTS BLDG"</f>
        <v>ARCHAEOLOGICAL PROJECTS BLDG</v>
      </c>
      <c r="D788" s="1" t="str">
        <f>"1351 Third St."</f>
        <v>1351 Third St.</v>
      </c>
      <c r="E788" s="1" t="str">
        <f t="shared" si="33"/>
        <v>Bryan</v>
      </c>
      <c r="F788" s="1" t="str">
        <f t="shared" si="34"/>
        <v>77807</v>
      </c>
      <c r="G788" t="s">
        <v>9</v>
      </c>
    </row>
    <row r="789" spans="1:7" ht="15" customHeight="1">
      <c r="A789" s="1" t="str">
        <f>"8487"</f>
        <v>8487</v>
      </c>
      <c r="B789" s="1">
        <f>""</f>
      </c>
      <c r="C789" s="1" t="str">
        <f>"TCE PROGRAM SUPPORT BLDG 2"</f>
        <v>TCE PROGRAM SUPPORT BLDG 2</v>
      </c>
      <c r="D789" s="1" t="str">
        <f>"1385 Third St."</f>
        <v>1385 Third St.</v>
      </c>
      <c r="E789" s="1" t="str">
        <f t="shared" si="33"/>
        <v>Bryan</v>
      </c>
      <c r="F789" s="1" t="str">
        <f t="shared" si="34"/>
        <v>77807</v>
      </c>
      <c r="G789" t="s">
        <v>9</v>
      </c>
    </row>
    <row r="790" spans="1:7" ht="15" customHeight="1">
      <c r="A790" s="1" t="str">
        <f>"8488"</f>
        <v>8488</v>
      </c>
      <c r="B790" s="1">
        <f>""</f>
      </c>
      <c r="C790" s="1" t="str">
        <f>"NAUTICAL ARCHAEOLOGY"</f>
        <v>NAUTICAL ARCHAEOLOGY</v>
      </c>
      <c r="D790" s="1" t="str">
        <f>"1282 Avenue D"</f>
        <v>1282 Avenue D</v>
      </c>
      <c r="E790" s="1" t="str">
        <f t="shared" si="33"/>
        <v>Bryan</v>
      </c>
      <c r="F790" s="1" t="str">
        <f t="shared" si="34"/>
        <v>77807</v>
      </c>
      <c r="G790" t="s">
        <v>9</v>
      </c>
    </row>
    <row r="791" spans="1:7" ht="15" customHeight="1">
      <c r="A791" s="1" t="str">
        <f>"8508"</f>
        <v>8508</v>
      </c>
      <c r="B791" s="1">
        <f>""</f>
      </c>
      <c r="C791" s="1" t="str">
        <f>"WAREHOUSE"</f>
        <v>WAREHOUSE</v>
      </c>
      <c r="D791" s="1" t="str">
        <f>"1306 Warehouse Loop Rd. "</f>
        <v>1306 Warehouse Loop Rd. </v>
      </c>
      <c r="E791" s="1" t="str">
        <f t="shared" si="33"/>
        <v>Bryan</v>
      </c>
      <c r="F791" s="1" t="str">
        <f t="shared" si="34"/>
        <v>77807</v>
      </c>
      <c r="G791" t="s">
        <v>9</v>
      </c>
    </row>
    <row r="792" spans="1:7" ht="15" customHeight="1">
      <c r="A792" s="1" t="str">
        <f>"8510"</f>
        <v>8510</v>
      </c>
      <c r="B792" s="1">
        <f>""</f>
      </c>
      <c r="C792" s="1" t="str">
        <f>"TTI PAVEMENTS RESEARCH FACILITY"</f>
        <v>TTI PAVEMENTS RESEARCH FACILITY</v>
      </c>
      <c r="D792" s="1" t="str">
        <f>"1210 Warehouse Loop Rd."</f>
        <v>1210 Warehouse Loop Rd.</v>
      </c>
      <c r="E792" s="1" t="str">
        <f t="shared" si="33"/>
        <v>Bryan</v>
      </c>
      <c r="F792" s="1" t="str">
        <f t="shared" si="34"/>
        <v>77807</v>
      </c>
      <c r="G792" t="s">
        <v>9</v>
      </c>
    </row>
    <row r="793" spans="1:7" ht="15" customHeight="1">
      <c r="A793" s="1" t="str">
        <f>"8511"</f>
        <v>8511</v>
      </c>
      <c r="B793" s="1">
        <f>""</f>
      </c>
      <c r="C793" s="1" t="str">
        <f aca="true" t="shared" si="35" ref="C793:C803">"WAREHOUSE"</f>
        <v>WAREHOUSE</v>
      </c>
      <c r="D793" s="1" t="str">
        <f>"1260 Warehouse Loop Rd."</f>
        <v>1260 Warehouse Loop Rd.</v>
      </c>
      <c r="E793" s="1" t="str">
        <f t="shared" si="33"/>
        <v>Bryan</v>
      </c>
      <c r="F793" s="1" t="str">
        <f t="shared" si="34"/>
        <v>77807</v>
      </c>
      <c r="G793" t="s">
        <v>9</v>
      </c>
    </row>
    <row r="794" spans="1:7" ht="15" customHeight="1">
      <c r="A794" s="1" t="str">
        <f>"8512"</f>
        <v>8512</v>
      </c>
      <c r="B794" s="1">
        <f>""</f>
      </c>
      <c r="C794" s="1" t="str">
        <f t="shared" si="35"/>
        <v>WAREHOUSE</v>
      </c>
      <c r="D794" s="1" t="str">
        <f>"1280 Warehouse Rd."</f>
        <v>1280 Warehouse Rd.</v>
      </c>
      <c r="E794" s="1" t="str">
        <f t="shared" si="33"/>
        <v>Bryan</v>
      </c>
      <c r="F794" s="1" t="str">
        <f t="shared" si="34"/>
        <v>77807</v>
      </c>
      <c r="G794" t="s">
        <v>9</v>
      </c>
    </row>
    <row r="795" spans="1:7" ht="15" customHeight="1">
      <c r="A795" s="1" t="str">
        <f>"8513"</f>
        <v>8513</v>
      </c>
      <c r="B795" s="1">
        <f>""</f>
      </c>
      <c r="C795" s="1" t="str">
        <f t="shared" si="35"/>
        <v>WAREHOUSE</v>
      </c>
      <c r="D795" s="1" t="str">
        <f>"3000 Warehouse Lo."</f>
        <v>3000 Warehouse Lo.</v>
      </c>
      <c r="E795" s="1" t="str">
        <f t="shared" si="33"/>
        <v>Bryan</v>
      </c>
      <c r="F795" s="1" t="str">
        <f t="shared" si="34"/>
        <v>77807</v>
      </c>
      <c r="G795" t="s">
        <v>9</v>
      </c>
    </row>
    <row r="796" spans="1:7" ht="15" customHeight="1">
      <c r="A796" s="1" t="str">
        <f>"8516"</f>
        <v>8516</v>
      </c>
      <c r="B796" s="1">
        <f>""</f>
      </c>
      <c r="C796" s="1" t="str">
        <f t="shared" si="35"/>
        <v>WAREHOUSE</v>
      </c>
      <c r="D796" s="1" t="str">
        <f>"1203 Warehouse Rd."</f>
        <v>1203 Warehouse Rd.</v>
      </c>
      <c r="E796" s="1" t="str">
        <f t="shared" si="33"/>
        <v>Bryan</v>
      </c>
      <c r="F796" s="1" t="str">
        <f t="shared" si="34"/>
        <v>77807</v>
      </c>
      <c r="G796" t="s">
        <v>9</v>
      </c>
    </row>
    <row r="797" spans="1:7" ht="15" customHeight="1">
      <c r="A797" s="1" t="str">
        <f>"8517"</f>
        <v>8517</v>
      </c>
      <c r="B797" s="1">
        <f>""</f>
      </c>
      <c r="C797" s="1" t="str">
        <f t="shared" si="35"/>
        <v>WAREHOUSE</v>
      </c>
      <c r="D797" s="1" t="str">
        <f>"1253 Warehouse Rd."</f>
        <v>1253 Warehouse Rd.</v>
      </c>
      <c r="E797" s="1" t="str">
        <f t="shared" si="33"/>
        <v>Bryan</v>
      </c>
      <c r="F797" s="1" t="str">
        <f t="shared" si="34"/>
        <v>77807</v>
      </c>
      <c r="G797" t="s">
        <v>9</v>
      </c>
    </row>
    <row r="798" spans="1:7" ht="15" customHeight="1">
      <c r="A798" s="1" t="str">
        <f>"8518"</f>
        <v>8518</v>
      </c>
      <c r="B798" s="1">
        <f>""</f>
      </c>
      <c r="C798" s="1" t="str">
        <f t="shared" si="35"/>
        <v>WAREHOUSE</v>
      </c>
      <c r="D798" s="1" t="str">
        <f>"1283 Warehouse Rd."</f>
        <v>1283 Warehouse Rd.</v>
      </c>
      <c r="E798" s="1" t="str">
        <f t="shared" si="33"/>
        <v>Bryan</v>
      </c>
      <c r="F798" s="1" t="str">
        <f t="shared" si="34"/>
        <v>77807</v>
      </c>
      <c r="G798" t="s">
        <v>9</v>
      </c>
    </row>
    <row r="799" spans="1:7" ht="15" customHeight="1">
      <c r="A799" s="1" t="str">
        <f>"8519"</f>
        <v>8519</v>
      </c>
      <c r="B799" s="1">
        <f>""</f>
      </c>
      <c r="C799" s="1" t="str">
        <f t="shared" si="35"/>
        <v>WAREHOUSE</v>
      </c>
      <c r="D799" s="1" t="str">
        <f>"1303 Warehouse Rd."</f>
        <v>1303 Warehouse Rd.</v>
      </c>
      <c r="E799" s="1" t="str">
        <f t="shared" si="33"/>
        <v>Bryan</v>
      </c>
      <c r="F799" s="1" t="str">
        <f t="shared" si="34"/>
        <v>77807</v>
      </c>
      <c r="G799" t="s">
        <v>9</v>
      </c>
    </row>
    <row r="800" spans="1:7" ht="15" customHeight="1">
      <c r="A800" s="1" t="str">
        <f>"8521"</f>
        <v>8521</v>
      </c>
      <c r="B800" s="1">
        <f>""</f>
      </c>
      <c r="C800" s="1" t="str">
        <f t="shared" si="35"/>
        <v>WAREHOUSE</v>
      </c>
      <c r="D800" s="1" t="str">
        <f>"1343 Warehouse Rd."</f>
        <v>1343 Warehouse Rd.</v>
      </c>
      <c r="E800" s="1" t="str">
        <f t="shared" si="33"/>
        <v>Bryan</v>
      </c>
      <c r="F800" s="1" t="str">
        <f t="shared" si="34"/>
        <v>77807</v>
      </c>
      <c r="G800" t="s">
        <v>9</v>
      </c>
    </row>
    <row r="801" spans="1:7" ht="15" customHeight="1">
      <c r="A801" s="1" t="str">
        <f>"8522"</f>
        <v>8522</v>
      </c>
      <c r="B801" s="1">
        <f>""</f>
      </c>
      <c r="C801" s="1" t="str">
        <f t="shared" si="35"/>
        <v>WAREHOUSE</v>
      </c>
      <c r="D801" s="1" t="str">
        <f>"1445 Warehouse Rd."</f>
        <v>1445 Warehouse Rd.</v>
      </c>
      <c r="E801" s="1" t="str">
        <f t="shared" si="33"/>
        <v>Bryan</v>
      </c>
      <c r="F801" s="1" t="str">
        <f t="shared" si="34"/>
        <v>77807</v>
      </c>
      <c r="G801" t="s">
        <v>9</v>
      </c>
    </row>
    <row r="802" spans="1:7" ht="15" customHeight="1">
      <c r="A802" s="1" t="str">
        <f>"8523"</f>
        <v>8523</v>
      </c>
      <c r="B802" s="1">
        <f>""</f>
      </c>
      <c r="C802" s="1" t="str">
        <f t="shared" si="35"/>
        <v>WAREHOUSE</v>
      </c>
      <c r="D802" s="1" t="str">
        <f>"1501 Warehouse Rd."</f>
        <v>1501 Warehouse Rd.</v>
      </c>
      <c r="E802" s="1" t="str">
        <f t="shared" si="33"/>
        <v>Bryan</v>
      </c>
      <c r="F802" s="1" t="str">
        <f t="shared" si="34"/>
        <v>77807</v>
      </c>
      <c r="G802" t="s">
        <v>9</v>
      </c>
    </row>
    <row r="803" spans="1:7" ht="15" customHeight="1">
      <c r="A803" s="1" t="str">
        <f>"8524"</f>
        <v>8524</v>
      </c>
      <c r="B803" s="1">
        <f>""</f>
      </c>
      <c r="C803" s="1" t="str">
        <f t="shared" si="35"/>
        <v>WAREHOUSE</v>
      </c>
      <c r="D803" s="1" t="str">
        <f>"1563 Warehouse Rd."</f>
        <v>1563 Warehouse Rd.</v>
      </c>
      <c r="E803" s="1" t="str">
        <f t="shared" si="33"/>
        <v>Bryan</v>
      </c>
      <c r="F803" s="1" t="str">
        <f t="shared" si="34"/>
        <v>77807</v>
      </c>
      <c r="G803" t="s">
        <v>9</v>
      </c>
    </row>
    <row r="804" spans="1:7" ht="15" customHeight="1">
      <c r="A804" s="1" t="str">
        <f>"8525"</f>
        <v>8525</v>
      </c>
      <c r="B804" s="1">
        <f>""</f>
      </c>
      <c r="C804" s="1" t="str">
        <f>"GOOD LAB PRACTICES"</f>
        <v>GOOD LAB PRACTICES</v>
      </c>
      <c r="D804" s="1" t="str">
        <f>"1696 Bryan Rd."</f>
        <v>1696 Bryan Rd.</v>
      </c>
      <c r="E804" s="1" t="str">
        <f t="shared" si="33"/>
        <v>Bryan</v>
      </c>
      <c r="F804" s="1" t="str">
        <f t="shared" si="34"/>
        <v>77807</v>
      </c>
      <c r="G804" t="s">
        <v>9</v>
      </c>
    </row>
    <row r="805" spans="1:7" ht="15" customHeight="1">
      <c r="A805" s="1" t="str">
        <f>"8529"</f>
        <v>8529</v>
      </c>
      <c r="B805" s="1">
        <f>""</f>
      </c>
      <c r="C805" s="1" t="str">
        <f>"WAREHOUSE"</f>
        <v>WAREHOUSE</v>
      </c>
      <c r="D805" s="1" t="str">
        <f>"1292 Warehouse Rd."</f>
        <v>1292 Warehouse Rd.</v>
      </c>
      <c r="E805" s="1" t="str">
        <f t="shared" si="33"/>
        <v>Bryan</v>
      </c>
      <c r="F805" s="1" t="str">
        <f t="shared" si="34"/>
        <v>77807</v>
      </c>
      <c r="G805" t="s">
        <v>9</v>
      </c>
    </row>
    <row r="806" spans="1:7" ht="15" customHeight="1">
      <c r="A806" s="1" t="str">
        <f>"8530"</f>
        <v>8530</v>
      </c>
      <c r="B806" s="1">
        <f>""</f>
      </c>
      <c r="C806" s="1" t="str">
        <f>"WAREHOUSE"</f>
        <v>WAREHOUSE</v>
      </c>
      <c r="D806" s="1" t="str">
        <f>"1255 Second St."</f>
        <v>1255 Second St.</v>
      </c>
      <c r="E806" s="1" t="str">
        <f t="shared" si="33"/>
        <v>Bryan</v>
      </c>
      <c r="F806" s="1" t="str">
        <f t="shared" si="34"/>
        <v>77807</v>
      </c>
      <c r="G806" t="s">
        <v>9</v>
      </c>
    </row>
    <row r="807" spans="1:7" ht="15" customHeight="1">
      <c r="A807" s="1" t="str">
        <f>"8531"</f>
        <v>8531</v>
      </c>
      <c r="B807" s="1">
        <f>""</f>
      </c>
      <c r="C807" s="1" t="str">
        <f>"Wash Rack"</f>
        <v>Wash Rack</v>
      </c>
      <c r="D807" s="1" t="str">
        <f>"1261 Avenue A"</f>
        <v>1261 Avenue A</v>
      </c>
      <c r="E807" s="1" t="str">
        <f t="shared" si="33"/>
        <v>Bryan</v>
      </c>
      <c r="F807" s="1" t="str">
        <f t="shared" si="34"/>
        <v>77807</v>
      </c>
      <c r="G807" t="s">
        <v>9</v>
      </c>
    </row>
    <row r="808" spans="1:7" ht="15" customHeight="1">
      <c r="A808" s="1" t="str">
        <f>"8532"</f>
        <v>8532</v>
      </c>
      <c r="B808" s="1">
        <f>""</f>
      </c>
      <c r="C808" s="1" t="str">
        <f>"FIRE STATION"</f>
        <v>FIRE STATION</v>
      </c>
      <c r="D808" s="1" t="str">
        <f>"1211 Second St."</f>
        <v>1211 Second St.</v>
      </c>
      <c r="E808" s="1" t="str">
        <f t="shared" si="33"/>
        <v>Bryan</v>
      </c>
      <c r="F808" s="1" t="str">
        <f t="shared" si="34"/>
        <v>77807</v>
      </c>
      <c r="G808" t="s">
        <v>9</v>
      </c>
    </row>
    <row r="809" spans="1:7" ht="15" customHeight="1">
      <c r="A809" s="1" t="str">
        <f>"8541"</f>
        <v>8541</v>
      </c>
      <c r="B809" s="1">
        <f>""</f>
      </c>
      <c r="C809" s="1" t="str">
        <f>"PAINT BOOTH"</f>
        <v>PAINT BOOTH</v>
      </c>
      <c r="D809" s="1" t="str">
        <f>"1228 Second St."</f>
        <v>1228 Second St.</v>
      </c>
      <c r="E809" s="1" t="str">
        <f t="shared" si="33"/>
        <v>Bryan</v>
      </c>
      <c r="F809" s="1" t="str">
        <f t="shared" si="34"/>
        <v>77807</v>
      </c>
      <c r="G809" t="s">
        <v>9</v>
      </c>
    </row>
    <row r="810" spans="1:7" ht="15" customHeight="1">
      <c r="A810" s="1" t="str">
        <f>"8561"</f>
        <v>8561</v>
      </c>
      <c r="B810" s="1">
        <f>""</f>
      </c>
      <c r="C810" s="1" t="str">
        <f>"TRUCK MAINTENANCE SHOP"</f>
        <v>TRUCK MAINTENANCE SHOP</v>
      </c>
      <c r="D810" s="1" t="str">
        <f>"1377 Second St."</f>
        <v>1377 Second St.</v>
      </c>
      <c r="E810" s="1" t="str">
        <f t="shared" si="33"/>
        <v>Bryan</v>
      </c>
      <c r="F810" s="1" t="str">
        <f t="shared" si="34"/>
        <v>77807</v>
      </c>
      <c r="G810" t="s">
        <v>9</v>
      </c>
    </row>
    <row r="811" spans="1:7" ht="15" customHeight="1">
      <c r="A811" s="1" t="str">
        <f>"8578"</f>
        <v>8578</v>
      </c>
      <c r="B811" s="1">
        <f>""</f>
      </c>
      <c r="C811" s="1" t="str">
        <f>"WATER LAB AT CUP"</f>
        <v>WATER LAB AT CUP</v>
      </c>
      <c r="D811" s="1">
        <f>""</f>
      </c>
      <c r="E811" s="1" t="str">
        <f>"College Station"</f>
        <v>College Station</v>
      </c>
      <c r="F811" s="1" t="str">
        <f>"77843"</f>
        <v>77843</v>
      </c>
      <c r="G811" t="s">
        <v>8</v>
      </c>
    </row>
    <row r="812" spans="1:7" ht="15" customHeight="1">
      <c r="A812" s="1" t="str">
        <f>"8600"</f>
        <v>8600</v>
      </c>
      <c r="B812" s="1">
        <f>""</f>
      </c>
      <c r="C812" s="1" t="str">
        <f>"TEEX - PS&amp;S UXO Demo Range Pavilion"</f>
        <v>TEEX - PS&amp;S UXO Demo Range Pavilion</v>
      </c>
      <c r="D812" s="1">
        <f>""</f>
      </c>
      <c r="E812" s="1" t="str">
        <f>"Bryan"</f>
        <v>Bryan</v>
      </c>
      <c r="F812" s="1" t="str">
        <f>"77807"</f>
        <v>77807</v>
      </c>
      <c r="G812" t="s">
        <v>8</v>
      </c>
    </row>
    <row r="813" spans="1:7" ht="15" customHeight="1">
      <c r="A813" s="1" t="str">
        <f>"8601"</f>
        <v>8601</v>
      </c>
      <c r="B813" s="1">
        <f>""</f>
      </c>
      <c r="C813" s="1" t="str">
        <f>"TEEX - PS&amp;S UXO Search Grid Pavilion"</f>
        <v>TEEX - PS&amp;S UXO Search Grid Pavilion</v>
      </c>
      <c r="D813" s="1">
        <f>""</f>
      </c>
      <c r="E813" s="1" t="str">
        <f>"Bryan"</f>
        <v>Bryan</v>
      </c>
      <c r="F813" s="1" t="str">
        <f>"77807"</f>
        <v>77807</v>
      </c>
      <c r="G813" t="s">
        <v>8</v>
      </c>
    </row>
    <row r="814" spans="1:7" ht="15" customHeight="1">
      <c r="A814" s="1" t="str">
        <f>"8685"</f>
        <v>8685</v>
      </c>
      <c r="B814" s="1">
        <f>""</f>
      </c>
      <c r="C814" s="1" t="str">
        <f>"TEEX - PS&amp;S Firing Range Classroom"</f>
        <v>TEEX - PS&amp;S Firing Range Classroom</v>
      </c>
      <c r="D814" s="1">
        <f>""</f>
      </c>
      <c r="E814" s="1" t="str">
        <f>"Bryan"</f>
        <v>Bryan</v>
      </c>
      <c r="F814" s="1" t="str">
        <f>"77807"</f>
        <v>77807</v>
      </c>
      <c r="G814" t="s">
        <v>8</v>
      </c>
    </row>
    <row r="815" spans="1:7" ht="15" customHeight="1">
      <c r="A815" s="1" t="str">
        <f>"8687"</f>
        <v>8687</v>
      </c>
      <c r="B815" s="1">
        <f>""</f>
      </c>
      <c r="C815" s="1" t="str">
        <f>"TEEX Shoot House"</f>
        <v>TEEX Shoot House</v>
      </c>
      <c r="D815" s="1">
        <f>""</f>
      </c>
      <c r="E815" s="1" t="str">
        <f>"Bryan"</f>
        <v>Bryan</v>
      </c>
      <c r="F815" s="1" t="str">
        <f>"77807"</f>
        <v>77807</v>
      </c>
      <c r="G815" t="s">
        <v>8</v>
      </c>
    </row>
    <row r="816" spans="1:7" ht="15" customHeight="1">
      <c r="A816" s="1" t="str">
        <f>"8900"</f>
        <v>8900</v>
      </c>
      <c r="B816" s="1">
        <f>""</f>
      </c>
      <c r="C816" s="1" t="str">
        <f>"GROVE TEMPORARY BUILDING"</f>
        <v>GROVE TEMPORARY BUILDING</v>
      </c>
      <c r="D816" s="1" t="str">
        <f>"214 Lamar St"</f>
        <v>214 Lamar St</v>
      </c>
      <c r="E816" s="1" t="str">
        <f aca="true" t="shared" si="36" ref="E816:E822">"College Station"</f>
        <v>College Station</v>
      </c>
      <c r="F816" s="1" t="str">
        <f aca="true" t="shared" si="37" ref="F816:F823">"77843"</f>
        <v>77843</v>
      </c>
      <c r="G816" t="s">
        <v>9</v>
      </c>
    </row>
    <row r="817" spans="1:7" ht="15" customHeight="1">
      <c r="A817" s="1" t="str">
        <f>"8901"</f>
        <v>8901</v>
      </c>
      <c r="B817" s="1">
        <f>""</f>
      </c>
      <c r="C817" s="1" t="str">
        <f>"STUDENT MEDIA TEMPORARY BUILDING"</f>
        <v>STUDENT MEDIA TEMPORARY BUILDING</v>
      </c>
      <c r="D817" s="1" t="str">
        <f>"215 Lamar St."</f>
        <v>215 Lamar St.</v>
      </c>
      <c r="E817" s="1" t="str">
        <f t="shared" si="36"/>
        <v>College Station</v>
      </c>
      <c r="F817" s="1" t="str">
        <f t="shared" si="37"/>
        <v>77843</v>
      </c>
      <c r="G817" t="s">
        <v>9</v>
      </c>
    </row>
    <row r="818" spans="1:7" ht="15" customHeight="1">
      <c r="A818" s="1" t="str">
        <f>"8906"</f>
        <v>8906</v>
      </c>
      <c r="B818" s="1">
        <f>""</f>
      </c>
      <c r="C818" s="1" t="str">
        <f>"Transportation Services Barricade Storage"</f>
        <v>Transportation Services Barricade Storage</v>
      </c>
      <c r="D818" s="1" t="str">
        <f>"180 Agronomy Rd."</f>
        <v>180 Agronomy Rd.</v>
      </c>
      <c r="E818" s="1" t="str">
        <f t="shared" si="36"/>
        <v>College Station</v>
      </c>
      <c r="F818" s="1" t="str">
        <f t="shared" si="37"/>
        <v>77843</v>
      </c>
      <c r="G818" t="s">
        <v>9</v>
      </c>
    </row>
    <row r="819" spans="1:7" ht="15" customHeight="1">
      <c r="A819" s="1" t="str">
        <f>"9101"</f>
        <v>9101</v>
      </c>
      <c r="B819" s="1">
        <f>""</f>
      </c>
      <c r="C819" s="1" t="str">
        <f>"Substation (West Campus)"</f>
        <v>Substation (West Campus)</v>
      </c>
      <c r="D819" s="1" t="str">
        <f>"174 Aronomy Rd."</f>
        <v>174 Aronomy Rd.</v>
      </c>
      <c r="E819" s="1" t="str">
        <f t="shared" si="36"/>
        <v>College Station</v>
      </c>
      <c r="F819" s="1" t="str">
        <f t="shared" si="37"/>
        <v>77843</v>
      </c>
      <c r="G819" t="s">
        <v>9</v>
      </c>
    </row>
    <row r="820" spans="1:7" ht="15" customHeight="1">
      <c r="A820" s="1" t="str">
        <f>"9351"</f>
        <v>9351</v>
      </c>
      <c r="B820" s="1">
        <f>""</f>
      </c>
      <c r="C820" s="1" t="str">
        <f>"WATER TOWER"</f>
        <v>WATER TOWER</v>
      </c>
      <c r="D820" s="1" t="str">
        <f>"191 Asbury St."</f>
        <v>191 Asbury St.</v>
      </c>
      <c r="E820" s="1" t="str">
        <f t="shared" si="36"/>
        <v>College Station</v>
      </c>
      <c r="F820" s="1" t="str">
        <f t="shared" si="37"/>
        <v>77843</v>
      </c>
      <c r="G820" t="s">
        <v>9</v>
      </c>
    </row>
    <row r="821" spans="1:7" ht="15" customHeight="1">
      <c r="A821" s="1" t="str">
        <f>"9788"</f>
        <v>9788</v>
      </c>
      <c r="B821" s="1">
        <f>""</f>
      </c>
      <c r="C821" s="1" t="str">
        <f>"Varsity Softball Complex"</f>
        <v>Varsity Softball Complex</v>
      </c>
      <c r="D821" s="1" t="str">
        <f>"888 Olsen Bl."</f>
        <v>888 Olsen Bl.</v>
      </c>
      <c r="E821" s="1" t="str">
        <f t="shared" si="36"/>
        <v>College Station</v>
      </c>
      <c r="F821" s="1" t="str">
        <f t="shared" si="37"/>
        <v>77843</v>
      </c>
      <c r="G821" t="s">
        <v>9</v>
      </c>
    </row>
    <row r="822" spans="1:7" ht="15" customHeight="1">
      <c r="A822" s="1" t="str">
        <f>"9789"</f>
        <v>9789</v>
      </c>
      <c r="B822" s="1">
        <f>""</f>
      </c>
      <c r="C822" s="1" t="str">
        <f>"Varsity Soccer Complex"</f>
        <v>Varsity Soccer Complex</v>
      </c>
      <c r="D822" s="1">
        <f>""</f>
      </c>
      <c r="E822" s="1" t="str">
        <f t="shared" si="36"/>
        <v>College Station</v>
      </c>
      <c r="F822" s="1" t="str">
        <f t="shared" si="37"/>
        <v>77843</v>
      </c>
      <c r="G822" t="s">
        <v>8</v>
      </c>
    </row>
    <row r="823" spans="1:7" ht="15" customHeight="1">
      <c r="A823" s="1" t="str">
        <f>"9792"</f>
        <v>9792</v>
      </c>
      <c r="B823" s="1">
        <f>""</f>
      </c>
      <c r="C823" s="1" t="str">
        <f>"Food Service Vending Trailer"</f>
        <v>Food Service Vending Trailer</v>
      </c>
      <c r="D823" s="1">
        <f>""</f>
      </c>
      <c r="E823" s="1">
        <f>""</f>
      </c>
      <c r="F823" s="1" t="str">
        <f t="shared" si="37"/>
        <v>77843</v>
      </c>
      <c r="G823" t="s">
        <v>8</v>
      </c>
    </row>
  </sheetData>
  <sheetProtection/>
  <printOptions/>
  <pageMargins left="0.75" right="0.75" top="0.35" bottom="0.35" header="0.23" footer="0.24"/>
  <pageSetup fitToHeight="0" fitToWidth="1" horizontalDpi="1200" verticalDpi="12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Morrison, David A</dc:creator>
  <cp:keywords/>
  <dc:description/>
  <cp:lastModifiedBy>FCOR</cp:lastModifiedBy>
  <cp:lastPrinted>2010-05-18T13:23:47Z</cp:lastPrinted>
  <dcterms:created xsi:type="dcterms:W3CDTF">2010-05-13T20:44:44Z</dcterms:created>
  <dcterms:modified xsi:type="dcterms:W3CDTF">2010-05-18T13:27:32Z</dcterms:modified>
  <cp:category/>
  <cp:version/>
  <cp:contentType/>
  <cp:contentStatus/>
</cp:coreProperties>
</file>